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2 - DavidMonroeCCIM\Strategic Analysis Inner Circle\Forms-Tools-Checklists-Templates\"/>
    </mc:Choice>
  </mc:AlternateContent>
  <xr:revisionPtr revIDLastSave="0" documentId="13_ncr:1_{ABA465B2-33CD-46D4-8AEF-B65860EE7FE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5yr Multifamily Underwriting" sheetId="4" r:id="rId1"/>
    <sheet name="Income and Expense Inputs" sheetId="5" r:id="rId2"/>
  </sheets>
  <definedNames>
    <definedName name="_xlnm.Print_Area" localSheetId="1">'Income and Expense Inputs'!$A$1:$U$35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5" l="1"/>
  <c r="R11" i="5"/>
  <c r="P12" i="5"/>
  <c r="R12" i="5"/>
  <c r="P13" i="5"/>
  <c r="R13" i="5"/>
  <c r="R10" i="5"/>
  <c r="P10" i="5"/>
  <c r="N14" i="5"/>
  <c r="M10" i="4"/>
  <c r="F75" i="4" s="1"/>
  <c r="D51" i="4"/>
  <c r="D52" i="4" s="1"/>
  <c r="L62" i="4"/>
  <c r="D53" i="4"/>
  <c r="E53" i="4" s="1"/>
  <c r="F53" i="4" s="1"/>
  <c r="G53" i="4" s="1"/>
  <c r="H53" i="4" s="1"/>
  <c r="I53" i="4" s="1"/>
  <c r="F40" i="4"/>
  <c r="C40" i="4"/>
  <c r="F39" i="4"/>
  <c r="C39" i="4"/>
  <c r="C120" i="4"/>
  <c r="D114" i="4"/>
  <c r="E114" i="4" s="1"/>
  <c r="C114" i="4"/>
  <c r="L101" i="4"/>
  <c r="H95" i="4"/>
  <c r="D92" i="4"/>
  <c r="D91" i="4"/>
  <c r="H88" i="4"/>
  <c r="H86" i="4"/>
  <c r="H78" i="4"/>
  <c r="G78" i="4"/>
  <c r="F78" i="4"/>
  <c r="E78" i="4"/>
  <c r="D78" i="4"/>
  <c r="G75" i="4" l="1"/>
  <c r="D75" i="4"/>
  <c r="H75" i="4" s="1"/>
  <c r="E75" i="4"/>
  <c r="D54" i="4"/>
  <c r="D55" i="4"/>
  <c r="E51" i="4"/>
  <c r="F114" i="4"/>
  <c r="H13" i="4"/>
  <c r="F33" i="5"/>
  <c r="R14" i="5"/>
  <c r="P14" i="5"/>
  <c r="J14" i="5"/>
  <c r="H10" i="4" s="1"/>
  <c r="H14" i="5"/>
  <c r="F14" i="5"/>
  <c r="H9" i="4" s="1"/>
  <c r="H87" i="4" l="1"/>
  <c r="C91" i="4" s="1"/>
  <c r="L41" i="4"/>
  <c r="E55" i="4"/>
  <c r="F55" i="4" s="1"/>
  <c r="G55" i="4" s="1"/>
  <c r="H55" i="4" s="1"/>
  <c r="I55" i="4" s="1"/>
  <c r="F51" i="4"/>
  <c r="E52" i="4"/>
  <c r="E54" i="4" s="1"/>
  <c r="E56" i="4" s="1"/>
  <c r="D56" i="4"/>
  <c r="G114" i="4"/>
  <c r="H89" i="4" l="1"/>
  <c r="C88" i="4" s="1"/>
  <c r="E120" i="4"/>
  <c r="E73" i="4"/>
  <c r="G51" i="4"/>
  <c r="F52" i="4"/>
  <c r="F54" i="4" s="1"/>
  <c r="F56" i="4" s="1"/>
  <c r="L39" i="4"/>
  <c r="D120" i="4"/>
  <c r="D73" i="4"/>
  <c r="F41" i="4"/>
  <c r="F42" i="4" s="1"/>
  <c r="H114" i="4"/>
  <c r="L11" i="4"/>
  <c r="L14" i="4"/>
  <c r="C30" i="4"/>
  <c r="H51" i="4" l="1"/>
  <c r="G52" i="4"/>
  <c r="G54" i="4"/>
  <c r="G56" i="4" s="1"/>
  <c r="D57" i="4"/>
  <c r="H111" i="4" s="1"/>
  <c r="H57" i="4"/>
  <c r="G57" i="4"/>
  <c r="F57" i="4"/>
  <c r="F58" i="4" s="1"/>
  <c r="E57" i="4"/>
  <c r="E58" i="4" s="1"/>
  <c r="C41" i="4"/>
  <c r="C111" i="4"/>
  <c r="C42" i="4"/>
  <c r="F120" i="4"/>
  <c r="F73" i="4"/>
  <c r="E12" i="4"/>
  <c r="F81" i="4" l="1"/>
  <c r="F63" i="4"/>
  <c r="F122" i="4" s="1"/>
  <c r="E63" i="4"/>
  <c r="E122" i="4" s="1"/>
  <c r="E81" i="4"/>
  <c r="L52" i="4"/>
  <c r="L74" i="4" s="1"/>
  <c r="D111" i="4"/>
  <c r="D113" i="4" s="1"/>
  <c r="D112" i="4" s="1"/>
  <c r="D74" i="4" s="1"/>
  <c r="E111" i="4"/>
  <c r="I41" i="4"/>
  <c r="I40" i="4" s="1"/>
  <c r="F111" i="4"/>
  <c r="L42" i="4"/>
  <c r="G111" i="4"/>
  <c r="H113" i="4" s="1"/>
  <c r="H112" i="4" s="1"/>
  <c r="H74" i="4" s="1"/>
  <c r="D58" i="4"/>
  <c r="G120" i="4"/>
  <c r="G73" i="4"/>
  <c r="G58" i="4"/>
  <c r="F76" i="4"/>
  <c r="D76" i="4"/>
  <c r="E76" i="4"/>
  <c r="H92" i="4"/>
  <c r="H76" i="4"/>
  <c r="C43" i="4"/>
  <c r="G76" i="4"/>
  <c r="I51" i="4"/>
  <c r="H52" i="4"/>
  <c r="H54" i="4" s="1"/>
  <c r="H56" i="4" s="1"/>
  <c r="D77" i="4" l="1"/>
  <c r="D79" i="4" s="1"/>
  <c r="D82" i="4" s="1"/>
  <c r="C63" i="4"/>
  <c r="C102" i="4"/>
  <c r="G81" i="4"/>
  <c r="G63" i="4"/>
  <c r="G122" i="4" s="1"/>
  <c r="D63" i="4"/>
  <c r="D81" i="4"/>
  <c r="L40" i="4"/>
  <c r="E113" i="4"/>
  <c r="E112" i="4" s="1"/>
  <c r="E74" i="4" s="1"/>
  <c r="E77" i="4" s="1"/>
  <c r="E79" i="4" s="1"/>
  <c r="E82" i="4" s="1"/>
  <c r="E83" i="4" s="1"/>
  <c r="E102" i="4" s="1"/>
  <c r="F113" i="4"/>
  <c r="F112" i="4" s="1"/>
  <c r="F74" i="4" s="1"/>
  <c r="F77" i="4" s="1"/>
  <c r="F79" i="4" s="1"/>
  <c r="F82" i="4" s="1"/>
  <c r="F83" i="4" s="1"/>
  <c r="F102" i="4" s="1"/>
  <c r="H73" i="4"/>
  <c r="H77" i="4" s="1"/>
  <c r="H79" i="4" s="1"/>
  <c r="H82" i="4" s="1"/>
  <c r="H58" i="4"/>
  <c r="I39" i="4"/>
  <c r="I52" i="4"/>
  <c r="I54" i="4" s="1"/>
  <c r="I56" i="4" s="1"/>
  <c r="L50" i="4" s="1"/>
  <c r="H93" i="4"/>
  <c r="H94" i="4" s="1"/>
  <c r="H96" i="4" s="1"/>
  <c r="G113" i="4"/>
  <c r="G112" i="4" s="1"/>
  <c r="G74" i="4" s="1"/>
  <c r="G77" i="4" s="1"/>
  <c r="G79" i="4" s="1"/>
  <c r="G82" i="4" s="1"/>
  <c r="G83" i="4" l="1"/>
  <c r="G102" i="4" s="1"/>
  <c r="D83" i="4"/>
  <c r="D102" i="4" s="1"/>
  <c r="L51" i="4"/>
  <c r="L73" i="4" s="1"/>
  <c r="C87" i="4" s="1"/>
  <c r="L72" i="4"/>
  <c r="H120" i="4"/>
  <c r="B121" i="4" s="1"/>
  <c r="D122" i="4"/>
  <c r="C122" i="4"/>
  <c r="H81" i="4"/>
  <c r="H83" i="4" s="1"/>
  <c r="C86" i="4" l="1"/>
  <c r="C89" i="4" s="1"/>
  <c r="C92" i="4" s="1"/>
  <c r="C93" i="4" s="1"/>
  <c r="L75" i="4"/>
  <c r="L53" i="4"/>
  <c r="H63" i="4" s="1"/>
  <c r="H122" i="4" l="1"/>
  <c r="B123" i="4" s="1"/>
  <c r="B124" i="4" s="1"/>
  <c r="C65" i="4"/>
  <c r="H65" i="4" s="1"/>
  <c r="L63" i="4"/>
  <c r="L64" i="4" s="1"/>
  <c r="B65" i="4"/>
  <c r="B63" i="4"/>
  <c r="C128" i="4" s="1"/>
  <c r="D93" i="4"/>
  <c r="L76" i="4"/>
  <c r="L77" i="4" s="1"/>
  <c r="H102" i="4" s="1"/>
  <c r="C104" i="4" l="1"/>
  <c r="H104" i="4" s="1"/>
  <c r="B104" i="4"/>
  <c r="B102" i="4"/>
  <c r="C129" i="4" s="1"/>
  <c r="C130" i="4" s="1"/>
  <c r="L102" i="4"/>
  <c r="L10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Engelstad</author>
  </authors>
  <commentList>
    <comment ref="D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Must be equal to or greater than the holding period</t>
        </r>
      </text>
    </comment>
  </commentList>
</comments>
</file>

<file path=xl/sharedStrings.xml><?xml version="1.0" encoding="utf-8"?>
<sst xmlns="http://schemas.openxmlformats.org/spreadsheetml/2006/main" count="216" uniqueCount="187">
  <si>
    <t>Data Input Area</t>
  </si>
  <si>
    <t>Investment Data:</t>
  </si>
  <si>
    <t>Building Data:</t>
  </si>
  <si>
    <t>Tax Data:</t>
  </si>
  <si>
    <t>Purchase Price</t>
  </si>
  <si>
    <t>Assessment Land</t>
  </si>
  <si>
    <t>Other Acqusition Costs</t>
  </si>
  <si>
    <t>Assessment Building</t>
  </si>
  <si>
    <t>Costs of Sale EOY 5</t>
  </si>
  <si>
    <t>Assessment Total</t>
  </si>
  <si>
    <t>Disposition Cap Rate</t>
  </si>
  <si>
    <t>Other Income</t>
  </si>
  <si>
    <t>Operating Expense Ratio YR 1</t>
  </si>
  <si>
    <t>Property Type</t>
  </si>
  <si>
    <t>Commercial</t>
  </si>
  <si>
    <t>Financing Data:</t>
  </si>
  <si>
    <t>VACL YR1</t>
  </si>
  <si>
    <t>Depreciable Life</t>
  </si>
  <si>
    <t>Tax rate</t>
  </si>
  <si>
    <t>LTV</t>
  </si>
  <si>
    <t>Investor Data:</t>
  </si>
  <si>
    <t>Gain rate</t>
  </si>
  <si>
    <t>DSCR</t>
  </si>
  <si>
    <t>Recapture Rate</t>
  </si>
  <si>
    <t>Loan Points</t>
  </si>
  <si>
    <t>Disc Rate Before Tax</t>
  </si>
  <si>
    <t>Loan Interest Rate</t>
  </si>
  <si>
    <t>Disc Rate After Tax</t>
  </si>
  <si>
    <t>Capital Improvements</t>
  </si>
  <si>
    <t>Loan Amort</t>
  </si>
  <si>
    <t>Safe Rate for Negative CFs</t>
  </si>
  <si>
    <t>Loan Term</t>
  </si>
  <si>
    <t>Reinvestment Rate for Positive CFs</t>
  </si>
  <si>
    <t>Inflation/Variable Rates:</t>
  </si>
  <si>
    <t>YEAR 1</t>
  </si>
  <si>
    <t>YEAR 2</t>
  </si>
  <si>
    <t>YEAR 3</t>
  </si>
  <si>
    <t>YEAR 4</t>
  </si>
  <si>
    <t>YEAR 5</t>
  </si>
  <si>
    <t>YEAR 6</t>
  </si>
  <si>
    <t>PGI Increase</t>
  </si>
  <si>
    <t>NA</t>
  </si>
  <si>
    <t>Rents Per Square Foot</t>
  </si>
  <si>
    <t>OE Increase</t>
  </si>
  <si>
    <t>Growth</t>
  </si>
  <si>
    <t>Other Income Increase</t>
  </si>
  <si>
    <t>Vacancy/Yr</t>
  </si>
  <si>
    <t>Initial Calculations:</t>
  </si>
  <si>
    <t>Initial Equity Investment</t>
  </si>
  <si>
    <t>Maximum Loan Amount</t>
  </si>
  <si>
    <t>Effective Cost of  Borrowing</t>
  </si>
  <si>
    <t>Year 1 Ratios:</t>
  </si>
  <si>
    <t>Price</t>
  </si>
  <si>
    <t>LTV Loan</t>
  </si>
  <si>
    <t>Lender Yield</t>
  </si>
  <si>
    <t>Acqusition Cap Rate</t>
  </si>
  <si>
    <t>+ Acqustion Costs</t>
  </si>
  <si>
    <t>ADS Constant</t>
  </si>
  <si>
    <t>APR</t>
  </si>
  <si>
    <t>Cash-on-Cash</t>
  </si>
  <si>
    <t>+ Loan Fees</t>
  </si>
  <si>
    <t>DCR Loan</t>
  </si>
  <si>
    <t>Op Expense Ratio</t>
  </si>
  <si>
    <t>-Loans</t>
  </si>
  <si>
    <t>Max Loan</t>
  </si>
  <si>
    <t>=Equity</t>
  </si>
  <si>
    <t>Before Tax Cash Flow Analysis:</t>
  </si>
  <si>
    <t>Before Tax Cash Flows</t>
  </si>
  <si>
    <t>Before Tax Sale</t>
  </si>
  <si>
    <t>Yr1</t>
  </si>
  <si>
    <t>Yr2</t>
  </si>
  <si>
    <t>Yr3</t>
  </si>
  <si>
    <t>Yr4</t>
  </si>
  <si>
    <t>Yr5</t>
  </si>
  <si>
    <t>Yr6</t>
  </si>
  <si>
    <t>Sales Price</t>
  </si>
  <si>
    <t>Potential Rental Income</t>
  </si>
  <si>
    <t>Selling Costs</t>
  </si>
  <si>
    <t>-Vacancy &amp; Collection</t>
  </si>
  <si>
    <t>-Mtg Bal</t>
  </si>
  <si>
    <t>+ Other Income</t>
  </si>
  <si>
    <t>SPBT</t>
  </si>
  <si>
    <t>-Operating Expenses</t>
  </si>
  <si>
    <t>=Net Operating income</t>
  </si>
  <si>
    <t>-Annual Debt Service</t>
  </si>
  <si>
    <t>=Before Tax Cash Flow</t>
  </si>
  <si>
    <t>Before Tax IRR &amp; MIRR</t>
  </si>
  <si>
    <t>Before Tax NPV</t>
  </si>
  <si>
    <t>BTIRR</t>
  </si>
  <si>
    <t>CF0</t>
  </si>
  <si>
    <t>CF1</t>
  </si>
  <si>
    <t>CF2</t>
  </si>
  <si>
    <t>CF3</t>
  </si>
  <si>
    <t>CF4</t>
  </si>
  <si>
    <t>CF5</t>
  </si>
  <si>
    <t>Discount Rate</t>
  </si>
  <si>
    <t>Investment Value</t>
  </si>
  <si>
    <t>BTMIRR</t>
  </si>
  <si>
    <t>NPV</t>
  </si>
  <si>
    <t>Capital Accumulation</t>
  </si>
  <si>
    <t>After Tax Cash Flow Analysis:</t>
  </si>
  <si>
    <t>After Tax Cash Flows</t>
  </si>
  <si>
    <t>After Tax Sale Proceeds</t>
  </si>
  <si>
    <t>NOI</t>
  </si>
  <si>
    <t>Mtg Bal</t>
  </si>
  <si>
    <t>-Dep</t>
  </si>
  <si>
    <t>-Loan Pts Amort</t>
  </si>
  <si>
    <t>-Tax on Sale</t>
  </si>
  <si>
    <t>SPAT</t>
  </si>
  <si>
    <t>Taxes Due</t>
  </si>
  <si>
    <t>BTCF</t>
  </si>
  <si>
    <t>-Taxes Due</t>
  </si>
  <si>
    <t>ATCF</t>
  </si>
  <si>
    <t>Calculation of Gain &amp; Tax</t>
  </si>
  <si>
    <t>Calculation of Adjusted Basis</t>
  </si>
  <si>
    <t>Original Basis</t>
  </si>
  <si>
    <t>Adjusted Basis</t>
  </si>
  <si>
    <t>+ Capital Imps</t>
  </si>
  <si>
    <t xml:space="preserve"> Total Gain</t>
  </si>
  <si>
    <t>Adj Basis</t>
  </si>
  <si>
    <t>Depreciation</t>
  </si>
  <si>
    <t>Ordinary Income at Sale</t>
  </si>
  <si>
    <t>Net Gain</t>
  </si>
  <si>
    <t>Total Loan Points</t>
  </si>
  <si>
    <t>Total Tax</t>
  </si>
  <si>
    <t>-Loan Pts Amortized</t>
  </si>
  <si>
    <t>=Loan Pts Remaining</t>
  </si>
  <si>
    <t>* Tax Rate</t>
  </si>
  <si>
    <t>=Tax Savings</t>
  </si>
  <si>
    <t>After Tax IRR &amp; MIRR</t>
  </si>
  <si>
    <t>After Tax NPV</t>
  </si>
  <si>
    <t>ATIRR</t>
  </si>
  <si>
    <t>ATMIRR</t>
  </si>
  <si>
    <t>Mortgage Analysis:</t>
  </si>
  <si>
    <t>EOY</t>
  </si>
  <si>
    <t>Ending Loan Bal</t>
  </si>
  <si>
    <t>Interest</t>
  </si>
  <si>
    <t>Principal</t>
  </si>
  <si>
    <t>PMTs Remaining</t>
  </si>
  <si>
    <t>Financial Leverage:</t>
  </si>
  <si>
    <t>BTIRR Unleveraged</t>
  </si>
  <si>
    <t>BTIRR Leveraged</t>
  </si>
  <si>
    <t>Effective Tax:</t>
  </si>
  <si>
    <t>Effective Tax</t>
  </si>
  <si>
    <t>=Gross Operating Income</t>
  </si>
  <si>
    <t>-Depreciation</t>
  </si>
  <si>
    <t>=Taxable Income</t>
  </si>
  <si>
    <t>Breakeven Occupancy</t>
  </si>
  <si>
    <t>Residential</t>
  </si>
  <si>
    <t>Full Yr %</t>
  </si>
  <si>
    <t>11.5 Mo %</t>
  </si>
  <si>
    <t>Cost Recovery Tables:</t>
  </si>
  <si>
    <t>Unit Mix</t>
  </si>
  <si>
    <t>Income and Expenses</t>
  </si>
  <si>
    <t xml:space="preserve">Studio </t>
  </si>
  <si>
    <t>Unit Type</t>
  </si>
  <si>
    <t># of Units</t>
  </si>
  <si>
    <t>Avg SF</t>
  </si>
  <si>
    <t>Avg Rent</t>
  </si>
  <si>
    <t>Avg Rent/SF</t>
  </si>
  <si>
    <r>
      <t xml:space="preserve">Copyright </t>
    </r>
    <r>
      <rPr>
        <sz val="11"/>
        <color theme="0"/>
        <rFont val="Calibri"/>
        <family val="2"/>
      </rPr>
      <t>©</t>
    </r>
    <r>
      <rPr>
        <sz val="11"/>
        <color theme="0"/>
        <rFont val="Calibri"/>
        <family val="2"/>
        <scheme val="minor"/>
      </rPr>
      <t>2021  David Monroe, CCIM</t>
    </r>
  </si>
  <si>
    <t>Eff Rent</t>
  </si>
  <si>
    <t>Eff Rent/SF</t>
  </si>
  <si>
    <t>Total Units</t>
  </si>
  <si>
    <t>Total</t>
  </si>
  <si>
    <t>Concessions%</t>
  </si>
  <si>
    <t>Multifamily Underwriting Workbook</t>
  </si>
  <si>
    <t>Copyright ©2021  David Monroe, CCIM</t>
  </si>
  <si>
    <t>Avg Rent/Unit</t>
  </si>
  <si>
    <t>1BR</t>
  </si>
  <si>
    <t>2BR</t>
  </si>
  <si>
    <t>3BR</t>
  </si>
  <si>
    <t>Salaries</t>
  </si>
  <si>
    <t>Advertising</t>
  </si>
  <si>
    <t>Contractors</t>
  </si>
  <si>
    <t>Maintenance</t>
  </si>
  <si>
    <t>Supplies</t>
  </si>
  <si>
    <t>Utilities</t>
  </si>
  <si>
    <t>Admin</t>
  </si>
  <si>
    <t>Taxes</t>
  </si>
  <si>
    <t>Insurance</t>
  </si>
  <si>
    <t>Management</t>
  </si>
  <si>
    <t>Landscaping</t>
  </si>
  <si>
    <t>Trash</t>
  </si>
  <si>
    <t>Legal</t>
  </si>
  <si>
    <t>Annual Operating Expenses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</si>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</sst>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\ &quot;psf&quot;"/>
    <numFmt numFmtId="166" formatCode="_(* #,##0_);_(* \(#,##0\);_(* &quot;-&quot;??_);_(@_)"/>
    <numFmt numFmtId="167" formatCode="0.0%"/>
    <numFmt numFmtId="168" formatCode="&quot;$&quot;#,##0.00\ &quot;psf&quot;"/>
    <numFmt numFmtId="169" formatCode="&quot;$&quot;#,##0.00"/>
    <numFmt numFmtId="170" formatCode="_(* #,##0.000000_);_(* \(#,##0.000000\);_(* &quot;-&quot;??_);_(@_)"/>
    <numFmt numFmtId="171" formatCode="0.000000000000000%"/>
    <numFmt numFmtId="172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4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10"/>
      <name val="Arial"/>
      <family val="2"/>
    </font>
    <font>
      <b/>
      <i/>
      <sz val="12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</font>
    <font>
      <i/>
      <sz val="8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3"/>
    <xf numFmtId="0" fontId="7" fillId="3" borderId="1" xfId="3" applyFont="1" applyFill="1" applyBorder="1" applyAlignment="1">
      <alignment horizontal="center"/>
    </xf>
    <xf numFmtId="0" fontId="7" fillId="3" borderId="2" xfId="3" applyFont="1" applyFill="1" applyBorder="1" applyAlignment="1">
      <alignment horizontal="center"/>
    </xf>
    <xf numFmtId="0" fontId="1" fillId="3" borderId="3" xfId="3" applyFill="1" applyBorder="1"/>
    <xf numFmtId="0" fontId="8" fillId="3" borderId="0" xfId="3" applyFont="1" applyFill="1" applyBorder="1" applyAlignment="1"/>
    <xf numFmtId="0" fontId="1" fillId="3" borderId="0" xfId="3" applyFill="1" applyBorder="1"/>
    <xf numFmtId="0" fontId="8" fillId="3" borderId="12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13" xfId="3" applyFont="1" applyFill="1" applyBorder="1" applyAlignment="1">
      <alignment horizontal="center"/>
    </xf>
    <xf numFmtId="0" fontId="1" fillId="3" borderId="12" xfId="3" applyFill="1" applyBorder="1"/>
    <xf numFmtId="0" fontId="9" fillId="3" borderId="0" xfId="3" applyFont="1" applyFill="1" applyBorder="1" applyAlignment="1">
      <alignment horizontal="right"/>
    </xf>
    <xf numFmtId="164" fontId="9" fillId="4" borderId="14" xfId="4" applyNumberFormat="1" applyFont="1" applyFill="1" applyBorder="1" applyProtection="1">
      <protection locked="0"/>
    </xf>
    <xf numFmtId="165" fontId="10" fillId="3" borderId="0" xfId="1" applyNumberFormat="1" applyFont="1" applyFill="1" applyBorder="1" applyAlignment="1">
      <alignment horizontal="center"/>
    </xf>
    <xf numFmtId="0" fontId="9" fillId="3" borderId="0" xfId="3" applyFont="1" applyFill="1" applyBorder="1"/>
    <xf numFmtId="166" fontId="9" fillId="4" borderId="14" xfId="5" applyNumberFormat="1" applyFont="1" applyFill="1" applyBorder="1" applyProtection="1">
      <protection locked="0"/>
    </xf>
    <xf numFmtId="166" fontId="9" fillId="3" borderId="0" xfId="5" applyNumberFormat="1" applyFont="1" applyFill="1" applyBorder="1"/>
    <xf numFmtId="167" fontId="1" fillId="3" borderId="13" xfId="6" applyNumberFormat="1" applyFont="1" applyFill="1" applyBorder="1"/>
    <xf numFmtId="0" fontId="1" fillId="3" borderId="0" xfId="3" applyFill="1" applyBorder="1" applyAlignment="1">
      <alignment horizontal="right"/>
    </xf>
    <xf numFmtId="44" fontId="9" fillId="4" borderId="14" xfId="4" applyFont="1" applyFill="1" applyBorder="1" applyProtection="1">
      <protection locked="0"/>
    </xf>
    <xf numFmtId="44" fontId="9" fillId="3" borderId="0" xfId="4" applyFont="1" applyFill="1" applyBorder="1"/>
    <xf numFmtId="10" fontId="9" fillId="4" borderId="14" xfId="3" applyNumberFormat="1" applyFont="1" applyFill="1" applyBorder="1" applyProtection="1">
      <protection locked="0"/>
    </xf>
    <xf numFmtId="164" fontId="1" fillId="3" borderId="0" xfId="3" applyNumberFormat="1" applyFill="1" applyBorder="1"/>
    <xf numFmtId="0" fontId="11" fillId="3" borderId="0" xfId="3" applyFont="1" applyFill="1" applyBorder="1" applyAlignment="1">
      <alignment horizontal="center"/>
    </xf>
    <xf numFmtId="164" fontId="9" fillId="3" borderId="0" xfId="4" applyNumberFormat="1" applyFont="1" applyFill="1" applyBorder="1"/>
    <xf numFmtId="0" fontId="1" fillId="3" borderId="13" xfId="3" applyFill="1" applyBorder="1"/>
    <xf numFmtId="10" fontId="9" fillId="4" borderId="14" xfId="6" applyNumberFormat="1" applyFont="1" applyFill="1" applyBorder="1" applyProtection="1">
      <protection locked="0"/>
    </xf>
    <xf numFmtId="168" fontId="10" fillId="3" borderId="0" xfId="1" applyNumberFormat="1" applyFont="1" applyFill="1" applyBorder="1" applyAlignment="1">
      <alignment horizontal="center"/>
    </xf>
    <xf numFmtId="0" fontId="4" fillId="5" borderId="14" xfId="3" applyFont="1" applyFill="1" applyBorder="1" applyAlignment="1" applyProtection="1">
      <alignment horizontal="center"/>
      <protection locked="0"/>
    </xf>
    <xf numFmtId="0" fontId="12" fillId="3" borderId="13" xfId="3" applyFont="1" applyFill="1" applyBorder="1"/>
    <xf numFmtId="10" fontId="9" fillId="3" borderId="0" xfId="3" applyNumberFormat="1" applyFont="1" applyFill="1" applyBorder="1"/>
    <xf numFmtId="167" fontId="9" fillId="4" borderId="14" xfId="3" applyNumberFormat="1" applyFont="1" applyFill="1" applyBorder="1" applyProtection="1">
      <protection locked="0"/>
    </xf>
    <xf numFmtId="0" fontId="3" fillId="3" borderId="0" xfId="3" applyFont="1" applyFill="1" applyBorder="1" applyAlignment="1">
      <alignment horizontal="center"/>
    </xf>
    <xf numFmtId="43" fontId="1" fillId="4" borderId="14" xfId="5" applyFont="1" applyFill="1" applyBorder="1" applyProtection="1">
      <protection locked="0"/>
    </xf>
    <xf numFmtId="9" fontId="9" fillId="3" borderId="0" xfId="3" applyNumberFormat="1" applyFont="1" applyFill="1" applyBorder="1"/>
    <xf numFmtId="10" fontId="1" fillId="4" borderId="14" xfId="6" applyNumberFormat="1" applyFont="1" applyFill="1" applyBorder="1" applyProtection="1">
      <protection locked="0"/>
    </xf>
    <xf numFmtId="10" fontId="1" fillId="4" borderId="14" xfId="3" applyNumberFormat="1" applyFill="1" applyBorder="1" applyProtection="1">
      <protection locked="0"/>
    </xf>
    <xf numFmtId="44" fontId="1" fillId="4" borderId="14" xfId="4" applyFont="1" applyFill="1" applyBorder="1" applyProtection="1">
      <protection locked="0"/>
    </xf>
    <xf numFmtId="0" fontId="1" fillId="4" borderId="14" xfId="3" applyFill="1" applyBorder="1" applyProtection="1">
      <protection locked="0"/>
    </xf>
    <xf numFmtId="0" fontId="13" fillId="3" borderId="0" xfId="3" applyFont="1" applyFill="1" applyBorder="1" applyAlignment="1">
      <alignment horizontal="right"/>
    </xf>
    <xf numFmtId="9" fontId="9" fillId="6" borderId="14" xfId="3" applyNumberFormat="1" applyFont="1" applyFill="1" applyBorder="1" applyAlignment="1">
      <alignment horizontal="center"/>
    </xf>
    <xf numFmtId="10" fontId="1" fillId="4" borderId="14" xfId="6" applyNumberFormat="1" applyFont="1" applyFill="1" applyBorder="1" applyAlignment="1" applyProtection="1">
      <alignment horizontal="center"/>
      <protection locked="0"/>
    </xf>
    <xf numFmtId="0" fontId="14" fillId="3" borderId="0" xfId="3" applyFont="1" applyFill="1" applyBorder="1" applyAlignment="1">
      <alignment horizontal="right"/>
    </xf>
    <xf numFmtId="169" fontId="14" fillId="3" borderId="0" xfId="1" applyNumberFormat="1" applyFont="1" applyFill="1" applyBorder="1" applyAlignment="1">
      <alignment horizontal="center"/>
    </xf>
    <xf numFmtId="9" fontId="4" fillId="5" borderId="14" xfId="3" applyNumberFormat="1" applyFont="1" applyFill="1" applyBorder="1" applyAlignment="1" applyProtection="1">
      <alignment horizontal="center"/>
      <protection locked="0"/>
    </xf>
    <xf numFmtId="9" fontId="14" fillId="3" borderId="0" xfId="3" applyNumberFormat="1" applyFont="1" applyFill="1" applyBorder="1" applyAlignment="1">
      <alignment horizontal="right"/>
    </xf>
    <xf numFmtId="10" fontId="14" fillId="3" borderId="11" xfId="6" applyNumberFormat="1" applyFont="1" applyFill="1" applyBorder="1" applyAlignment="1">
      <alignment horizontal="center"/>
    </xf>
    <xf numFmtId="0" fontId="0" fillId="3" borderId="0" xfId="3" applyFont="1" applyFill="1" applyBorder="1" applyAlignment="1">
      <alignment horizontal="right"/>
    </xf>
    <xf numFmtId="9" fontId="9" fillId="6" borderId="19" xfId="3" applyNumberFormat="1" applyFont="1" applyFill="1" applyBorder="1" applyAlignment="1">
      <alignment horizontal="center"/>
    </xf>
    <xf numFmtId="0" fontId="1" fillId="3" borderId="4" xfId="3" applyFill="1" applyBorder="1" applyAlignment="1">
      <alignment horizontal="right"/>
    </xf>
    <xf numFmtId="9" fontId="9" fillId="3" borderId="5" xfId="3" applyNumberFormat="1" applyFont="1" applyFill="1" applyBorder="1" applyAlignment="1">
      <alignment horizontal="center"/>
    </xf>
    <xf numFmtId="44" fontId="1" fillId="3" borderId="5" xfId="1" applyFont="1" applyFill="1" applyBorder="1"/>
    <xf numFmtId="0" fontId="9" fillId="3" borderId="5" xfId="3" applyFont="1" applyFill="1" applyBorder="1" applyAlignment="1">
      <alignment horizontal="right"/>
    </xf>
    <xf numFmtId="9" fontId="9" fillId="3" borderId="5" xfId="3" applyNumberFormat="1" applyFont="1" applyFill="1" applyBorder="1"/>
    <xf numFmtId="0" fontId="1" fillId="3" borderId="5" xfId="3" applyFill="1" applyBorder="1"/>
    <xf numFmtId="0" fontId="1" fillId="3" borderId="6" xfId="3" applyFill="1" applyBorder="1"/>
    <xf numFmtId="0" fontId="9" fillId="7" borderId="0" xfId="3" applyFont="1" applyFill="1" applyBorder="1" applyAlignment="1">
      <alignment horizontal="right"/>
    </xf>
    <xf numFmtId="9" fontId="9" fillId="0" borderId="0" xfId="3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164" fontId="0" fillId="0" borderId="17" xfId="0" applyNumberFormat="1" applyBorder="1"/>
    <xf numFmtId="0" fontId="0" fillId="0" borderId="0" xfId="0" applyBorder="1" applyAlignment="1">
      <alignment horizontal="right"/>
    </xf>
    <xf numFmtId="164" fontId="1" fillId="0" borderId="0" xfId="4" applyNumberFormat="1" applyFont="1" applyFill="1" applyBorder="1"/>
    <xf numFmtId="10" fontId="1" fillId="0" borderId="0" xfId="6" applyNumberFormat="1" applyFont="1" applyBorder="1"/>
    <xf numFmtId="164" fontId="0" fillId="0" borderId="0" xfId="0" applyNumberFormat="1" applyBorder="1"/>
    <xf numFmtId="0" fontId="0" fillId="0" borderId="12" xfId="0" quotePrefix="1" applyBorder="1"/>
    <xf numFmtId="164" fontId="0" fillId="0" borderId="18" xfId="0" applyNumberFormat="1" applyBorder="1"/>
    <xf numFmtId="170" fontId="1" fillId="0" borderId="0" xfId="5" applyNumberFormat="1" applyFont="1" applyFill="1" applyBorder="1"/>
    <xf numFmtId="10" fontId="0" fillId="0" borderId="0" xfId="0" applyNumberFormat="1" applyBorder="1"/>
    <xf numFmtId="0" fontId="4" fillId="0" borderId="0" xfId="0" applyNumberFormat="1" applyFont="1" applyBorder="1"/>
    <xf numFmtId="164" fontId="0" fillId="0" borderId="20" xfId="0" applyNumberFormat="1" applyBorder="1"/>
    <xf numFmtId="164" fontId="3" fillId="0" borderId="0" xfId="4" applyNumberFormat="1" applyFont="1" applyFill="1" applyBorder="1"/>
    <xf numFmtId="164" fontId="0" fillId="0" borderId="0" xfId="0" applyNumberFormat="1" applyFill="1" applyBorder="1"/>
    <xf numFmtId="0" fontId="0" fillId="0" borderId="4" xfId="0" quotePrefix="1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0" xfId="0" quotePrefix="1" applyBorder="1"/>
    <xf numFmtId="164" fontId="0" fillId="0" borderId="2" xfId="0" applyNumberFormat="1" applyBorder="1"/>
    <xf numFmtId="0" fontId="0" fillId="0" borderId="23" xfId="0" applyBorder="1"/>
    <xf numFmtId="0" fontId="0" fillId="0" borderId="24" xfId="0" applyBorder="1"/>
    <xf numFmtId="0" fontId="0" fillId="0" borderId="17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right"/>
    </xf>
    <xf numFmtId="164" fontId="1" fillId="0" borderId="0" xfId="4" applyNumberFormat="1" applyFont="1" applyBorder="1"/>
    <xf numFmtId="164" fontId="1" fillId="0" borderId="18" xfId="4" applyNumberFormat="1" applyFont="1" applyBorder="1"/>
    <xf numFmtId="0" fontId="0" fillId="0" borderId="0" xfId="0" quotePrefix="1" applyBorder="1" applyAlignment="1">
      <alignment horizontal="right"/>
    </xf>
    <xf numFmtId="0" fontId="0" fillId="0" borderId="25" xfId="0" quotePrefix="1" applyBorder="1" applyAlignment="1">
      <alignment horizontal="right"/>
    </xf>
    <xf numFmtId="164" fontId="1" fillId="0" borderId="11" xfId="4" applyNumberFormat="1" applyFont="1" applyBorder="1"/>
    <xf numFmtId="164" fontId="1" fillId="0" borderId="20" xfId="4" applyNumberFormat="1" applyFont="1" applyBorder="1"/>
    <xf numFmtId="0" fontId="0" fillId="0" borderId="26" xfId="0" applyBorder="1"/>
    <xf numFmtId="0" fontId="0" fillId="0" borderId="20" xfId="0" applyBorder="1"/>
    <xf numFmtId="44" fontId="1" fillId="0" borderId="0" xfId="3" applyNumberFormat="1"/>
    <xf numFmtId="0" fontId="0" fillId="0" borderId="11" xfId="0" quotePrefix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8" xfId="0" applyBorder="1"/>
    <xf numFmtId="10" fontId="7" fillId="0" borderId="12" xfId="0" applyNumberFormat="1" applyFont="1" applyFill="1" applyBorder="1" applyAlignment="1">
      <alignment horizontal="center"/>
    </xf>
    <xf numFmtId="6" fontId="0" fillId="0" borderId="18" xfId="0" applyNumberFormat="1" applyBorder="1"/>
    <xf numFmtId="10" fontId="9" fillId="0" borderId="12" xfId="0" applyNumberFormat="1" applyFont="1" applyFill="1" applyBorder="1" applyAlignment="1">
      <alignment horizontal="center"/>
    </xf>
    <xf numFmtId="0" fontId="7" fillId="0" borderId="0" xfId="0" applyFont="1" applyBorder="1"/>
    <xf numFmtId="10" fontId="3" fillId="0" borderId="10" xfId="0" applyNumberFormat="1" applyFont="1" applyFill="1" applyBorder="1" applyAlignment="1">
      <alignment horizontal="center"/>
    </xf>
    <xf numFmtId="6" fontId="4" fillId="0" borderId="11" xfId="0" applyNumberFormat="1" applyFont="1" applyBorder="1"/>
    <xf numFmtId="0" fontId="0" fillId="0" borderId="11" xfId="0" applyBorder="1"/>
    <xf numFmtId="0" fontId="16" fillId="0" borderId="11" xfId="0" applyFont="1" applyBorder="1"/>
    <xf numFmtId="6" fontId="16" fillId="0" borderId="11" xfId="0" applyNumberFormat="1" applyFont="1" applyBorder="1"/>
    <xf numFmtId="10" fontId="0" fillId="0" borderId="4" xfId="0" applyNumberFormat="1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right"/>
    </xf>
    <xf numFmtId="164" fontId="0" fillId="0" borderId="11" xfId="0" applyNumberFormat="1" applyBorder="1"/>
    <xf numFmtId="0" fontId="0" fillId="0" borderId="26" xfId="0" applyBorder="1" applyAlignment="1">
      <alignment horizontal="right"/>
    </xf>
    <xf numFmtId="167" fontId="1" fillId="0" borderId="11" xfId="6" applyNumberFormat="1" applyFont="1" applyBorder="1"/>
    <xf numFmtId="10" fontId="17" fillId="0" borderId="0" xfId="2" applyNumberFormat="1" applyFont="1" applyBorder="1"/>
    <xf numFmtId="0" fontId="0" fillId="0" borderId="10" xfId="0" applyBorder="1"/>
    <xf numFmtId="0" fontId="0" fillId="0" borderId="11" xfId="0" applyBorder="1" applyAlignment="1">
      <alignment horizontal="right"/>
    </xf>
    <xf numFmtId="10" fontId="0" fillId="0" borderId="0" xfId="2" applyNumberFormat="1" applyFont="1" applyBorder="1"/>
    <xf numFmtId="0" fontId="0" fillId="0" borderId="12" xfId="0" applyBorder="1" applyAlignment="1">
      <alignment horizontal="right"/>
    </xf>
    <xf numFmtId="164" fontId="0" fillId="0" borderId="24" xfId="0" applyNumberFormat="1" applyBorder="1"/>
    <xf numFmtId="44" fontId="1" fillId="0" borderId="0" xfId="4" applyFont="1" applyBorder="1"/>
    <xf numFmtId="44" fontId="0" fillId="0" borderId="20" xfId="0" applyNumberFormat="1" applyBorder="1"/>
    <xf numFmtId="167" fontId="18" fillId="0" borderId="18" xfId="0" applyNumberFormat="1" applyFont="1" applyBorder="1" applyAlignment="1">
      <alignment horizontal="center"/>
    </xf>
    <xf numFmtId="0" fontId="0" fillId="0" borderId="10" xfId="0" applyBorder="1" applyAlignment="1">
      <alignment horizontal="right"/>
    </xf>
    <xf numFmtId="167" fontId="17" fillId="0" borderId="20" xfId="6" applyNumberFormat="1" applyFont="1" applyBorder="1" applyAlignment="1">
      <alignment horizontal="center"/>
    </xf>
    <xf numFmtId="0" fontId="0" fillId="0" borderId="25" xfId="0" quotePrefix="1" applyBorder="1"/>
    <xf numFmtId="167" fontId="0" fillId="0" borderId="20" xfId="0" applyNumberFormat="1" applyBorder="1"/>
    <xf numFmtId="0" fontId="0" fillId="0" borderId="26" xfId="0" quotePrefix="1" applyBorder="1"/>
    <xf numFmtId="10" fontId="0" fillId="0" borderId="18" xfId="0" applyNumberFormat="1" applyBorder="1"/>
    <xf numFmtId="10" fontId="19" fillId="0" borderId="12" xfId="0" applyNumberFormat="1" applyFont="1" applyFill="1" applyBorder="1" applyAlignment="1">
      <alignment horizontal="center"/>
    </xf>
    <xf numFmtId="0" fontId="0" fillId="0" borderId="4" xfId="0" applyBorder="1"/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6" fontId="0" fillId="0" borderId="0" xfId="0" applyNumberFormat="1" applyBorder="1"/>
    <xf numFmtId="0" fontId="0" fillId="0" borderId="17" xfId="0" applyBorder="1" applyAlignment="1">
      <alignment horizontal="center"/>
    </xf>
    <xf numFmtId="10" fontId="0" fillId="0" borderId="25" xfId="0" applyNumberFormat="1" applyBorder="1" applyAlignment="1">
      <alignment horizontal="center"/>
    </xf>
    <xf numFmtId="171" fontId="4" fillId="0" borderId="0" xfId="0" applyNumberFormat="1" applyFont="1" applyBorder="1"/>
    <xf numFmtId="10" fontId="1" fillId="0" borderId="0" xfId="6" applyNumberFormat="1" applyFont="1" applyBorder="1" applyAlignment="1">
      <alignment horizontal="center"/>
    </xf>
    <xf numFmtId="167" fontId="1" fillId="0" borderId="0" xfId="6" applyNumberFormat="1" applyFont="1" applyBorder="1" applyAlignment="1">
      <alignment horizontal="center"/>
    </xf>
    <xf numFmtId="44" fontId="0" fillId="0" borderId="0" xfId="0" applyNumberFormat="1" applyBorder="1"/>
    <xf numFmtId="164" fontId="9" fillId="3" borderId="0" xfId="4" applyNumberFormat="1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/>
      <protection locked="0"/>
    </xf>
    <xf numFmtId="167" fontId="9" fillId="3" borderId="0" xfId="3" applyNumberFormat="1" applyFont="1" applyFill="1" applyBorder="1" applyProtection="1">
      <protection locked="0"/>
    </xf>
    <xf numFmtId="44" fontId="1" fillId="3" borderId="0" xfId="4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10" fontId="0" fillId="3" borderId="0" xfId="0" applyNumberFormat="1" applyFill="1" applyBorder="1" applyAlignment="1">
      <alignment horizontal="right"/>
    </xf>
    <xf numFmtId="164" fontId="4" fillId="7" borderId="0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" fillId="3" borderId="12" xfId="3" applyFill="1" applyBorder="1" applyAlignment="1">
      <alignment horizontal="right"/>
    </xf>
    <xf numFmtId="0" fontId="0" fillId="3" borderId="0" xfId="0" applyFont="1" applyFill="1" applyBorder="1"/>
    <xf numFmtId="0" fontId="0" fillId="3" borderId="12" xfId="0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0" xfId="0" applyBorder="1" applyAlignment="1"/>
    <xf numFmtId="172" fontId="0" fillId="0" borderId="0" xfId="0" applyNumberFormat="1" applyBorder="1" applyAlignment="1"/>
    <xf numFmtId="164" fontId="1" fillId="0" borderId="18" xfId="4" applyNumberFormat="1" applyFont="1" applyBorder="1" applyAlignment="1">
      <alignment horizontal="center"/>
    </xf>
    <xf numFmtId="172" fontId="3" fillId="0" borderId="24" xfId="0" applyNumberFormat="1" applyFont="1" applyBorder="1" applyAlignment="1"/>
    <xf numFmtId="10" fontId="0" fillId="3" borderId="0" xfId="0" applyNumberFormat="1" applyFill="1" applyBorder="1" applyAlignment="1">
      <alignment horizontal="center"/>
    </xf>
    <xf numFmtId="167" fontId="23" fillId="3" borderId="0" xfId="6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5" fillId="9" borderId="7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center"/>
    </xf>
    <xf numFmtId="0" fontId="3" fillId="3" borderId="11" xfId="3" applyFont="1" applyFill="1" applyBorder="1" applyAlignment="1">
      <alignment horizontal="center"/>
    </xf>
    <xf numFmtId="0" fontId="3" fillId="3" borderId="16" xfId="3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0" fontId="15" fillId="8" borderId="7" xfId="0" quotePrefix="1" applyFont="1" applyFill="1" applyBorder="1" applyAlignment="1">
      <alignment horizontal="center"/>
    </xf>
    <xf numFmtId="0" fontId="15" fillId="8" borderId="8" xfId="0" quotePrefix="1" applyFont="1" applyFill="1" applyBorder="1" applyAlignment="1">
      <alignment horizontal="center"/>
    </xf>
    <xf numFmtId="0" fontId="15" fillId="8" borderId="9" xfId="0" quotePrefix="1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72" fontId="0" fillId="0" borderId="0" xfId="0" applyNumberFormat="1" applyBorder="1" applyAlignment="1" applyProtection="1">
      <alignment horizontal="center"/>
      <protection locked="0"/>
    </xf>
    <xf numFmtId="169" fontId="0" fillId="0" borderId="0" xfId="0" applyNumberFormat="1" applyBorder="1" applyAlignment="1" applyProtection="1">
      <alignment horizontal="center"/>
      <protection locked="0"/>
    </xf>
    <xf numFmtId="10" fontId="0" fillId="0" borderId="0" xfId="0" applyNumberFormat="1" applyBorder="1" applyAlignment="1" applyProtection="1">
      <alignment horizontal="center"/>
      <protection locked="0"/>
    </xf>
    <xf numFmtId="164" fontId="1" fillId="0" borderId="0" xfId="4" applyNumberFormat="1" applyFont="1" applyBorder="1" applyAlignment="1" applyProtection="1">
      <alignment horizontal="center"/>
      <protection locked="0"/>
    </xf>
    <xf numFmtId="1" fontId="1" fillId="0" borderId="0" xfId="4" applyNumberFormat="1" applyFont="1" applyBorder="1" applyAlignment="1" applyProtection="1">
      <alignment horizontal="center"/>
      <protection locked="0"/>
    </xf>
    <xf numFmtId="172" fontId="1" fillId="0" borderId="0" xfId="4" applyNumberFormat="1" applyFont="1" applyBorder="1" applyAlignment="1" applyProtection="1">
      <alignment horizontal="center"/>
      <protection locked="0"/>
    </xf>
    <xf numFmtId="10" fontId="1" fillId="0" borderId="0" xfId="4" applyNumberFormat="1" applyFont="1" applyBorder="1" applyAlignment="1" applyProtection="1">
      <alignment horizontal="center"/>
      <protection locked="0"/>
    </xf>
    <xf numFmtId="0" fontId="0" fillId="0" borderId="0" xfId="0" quotePrefix="1" applyBorder="1" applyAlignment="1" applyProtection="1">
      <alignment horizontal="right"/>
      <protection locked="0"/>
    </xf>
    <xf numFmtId="0" fontId="3" fillId="0" borderId="0" xfId="0" quotePrefix="1" applyFont="1" applyBorder="1" applyAlignment="1" applyProtection="1">
      <alignment horizontal="right"/>
      <protection locked="0"/>
    </xf>
    <xf numFmtId="164" fontId="3" fillId="0" borderId="0" xfId="4" applyNumberFormat="1" applyFont="1" applyBorder="1" applyAlignment="1" applyProtection="1">
      <alignment horizontal="center"/>
      <protection locked="0"/>
    </xf>
    <xf numFmtId="1" fontId="3" fillId="0" borderId="24" xfId="4" applyNumberFormat="1" applyFont="1" applyBorder="1" applyAlignment="1" applyProtection="1">
      <alignment horizontal="center"/>
      <protection locked="0"/>
    </xf>
    <xf numFmtId="1" fontId="3" fillId="0" borderId="0" xfId="4" applyNumberFormat="1" applyFont="1" applyBorder="1" applyAlignment="1" applyProtection="1">
      <alignment horizontal="center"/>
      <protection locked="0"/>
    </xf>
    <xf numFmtId="172" fontId="3" fillId="0" borderId="24" xfId="4" applyNumberFormat="1" applyFont="1" applyBorder="1" applyAlignment="1" applyProtection="1">
      <alignment horizontal="center"/>
      <protection locked="0"/>
    </xf>
    <xf numFmtId="169" fontId="3" fillId="0" borderId="24" xfId="4" applyNumberFormat="1" applyFont="1" applyBorder="1" applyAlignment="1" applyProtection="1">
      <alignment horizontal="center"/>
      <protection locked="0"/>
    </xf>
    <xf numFmtId="10" fontId="3" fillId="0" borderId="24" xfId="4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72" fontId="0" fillId="0" borderId="0" xfId="0" applyNumberForma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172" fontId="3" fillId="0" borderId="24" xfId="0" applyNumberFormat="1" applyFont="1" applyBorder="1" applyAlignment="1" applyProtection="1">
      <protection locked="0"/>
    </xf>
  </cellXfs>
  <cellStyles count="7">
    <cellStyle name="Comma 2" xfId="5" xr:uid="{00000000-0005-0000-0000-000000000000}"/>
    <cellStyle name="Currency" xfId="1" builtinId="4"/>
    <cellStyle name="Currency 3" xfId="4" xr:uid="{00000000-0005-0000-0000-000002000000}"/>
    <cellStyle name="Normal" xfId="0" builtinId="0"/>
    <cellStyle name="Normal 3" xfId="3" xr:uid="{00000000-0005-0000-0000-000004000000}"/>
    <cellStyle name="Percent" xfId="2" builtinId="5"/>
    <cellStyle name="Percent 2" xfId="6" xr:uid="{00000000-0005-0000-0000-000006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1"/>
  <sheetViews>
    <sheetView showGridLines="0" tabSelected="1" zoomScale="110" zoomScaleNormal="110" workbookViewId="0">
      <selection activeCell="D9" sqref="D9"/>
    </sheetView>
  </sheetViews>
  <sheetFormatPr defaultRowHeight="15" x14ac:dyDescent="0.25"/>
  <cols>
    <col min="1" max="1" width="3.42578125" customWidth="1"/>
    <col min="2" max="2" width="17.85546875" customWidth="1"/>
    <col min="3" max="3" width="15.42578125" customWidth="1"/>
    <col min="4" max="4" width="20.85546875" bestFit="1" customWidth="1"/>
    <col min="5" max="9" width="12.5703125" customWidth="1"/>
    <col min="11" max="11" width="16.5703125" customWidth="1"/>
    <col min="12" max="13" width="13.42578125" customWidth="1"/>
    <col min="14" max="14" width="8.5703125" customWidth="1"/>
  </cols>
  <sheetData>
    <row r="1" spans="2:14" ht="6.75" customHeight="1" thickBot="1" x14ac:dyDescent="0.3"/>
    <row r="2" spans="2:14" ht="28.5" x14ac:dyDescent="0.45">
      <c r="B2" s="166" t="s">
        <v>166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</row>
    <row r="3" spans="2:14" ht="15.75" thickBot="1" x14ac:dyDescent="0.3">
      <c r="B3" s="173" t="s">
        <v>167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</row>
    <row r="4" spans="2:14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thickBot="1" x14ac:dyDescent="0.3">
      <c r="B5" s="169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</row>
    <row r="6" spans="2:14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2:14" x14ac:dyDescent="0.25">
      <c r="B7" s="155"/>
      <c r="C7" s="172" t="s">
        <v>1</v>
      </c>
      <c r="D7" s="172"/>
      <c r="E7" s="5"/>
      <c r="F7" s="172" t="s">
        <v>2</v>
      </c>
      <c r="G7" s="172"/>
      <c r="H7" s="172"/>
      <c r="I7" s="6"/>
      <c r="J7" s="148"/>
      <c r="K7" s="172" t="s">
        <v>3</v>
      </c>
      <c r="L7" s="172"/>
      <c r="M7" s="172"/>
      <c r="N7" s="9"/>
    </row>
    <row r="8" spans="2:14" x14ac:dyDescent="0.25">
      <c r="B8" s="7"/>
      <c r="C8" s="8"/>
      <c r="D8" s="8"/>
      <c r="E8" s="5"/>
      <c r="F8" s="8"/>
      <c r="G8" s="8"/>
      <c r="H8" s="8"/>
      <c r="I8" s="6"/>
      <c r="J8" s="8"/>
      <c r="K8" s="8"/>
      <c r="L8" s="8"/>
      <c r="M8" s="8"/>
      <c r="N8" s="9"/>
    </row>
    <row r="9" spans="2:14" x14ac:dyDescent="0.25">
      <c r="B9" s="10"/>
      <c r="C9" s="11" t="s">
        <v>4</v>
      </c>
      <c r="D9" s="12">
        <v>27500000</v>
      </c>
      <c r="E9" s="13"/>
      <c r="F9" s="14"/>
      <c r="G9" s="11" t="s">
        <v>163</v>
      </c>
      <c r="H9" s="15">
        <f>'Income and Expense Inputs'!F14</f>
        <v>236</v>
      </c>
      <c r="I9" s="16"/>
      <c r="J9" s="14"/>
      <c r="K9" s="11" t="s">
        <v>5</v>
      </c>
      <c r="L9" s="12">
        <v>2000000</v>
      </c>
      <c r="M9" s="144"/>
      <c r="N9" s="17"/>
    </row>
    <row r="10" spans="2:14" x14ac:dyDescent="0.25">
      <c r="B10" s="10"/>
      <c r="C10" s="18" t="s">
        <v>6</v>
      </c>
      <c r="D10" s="12">
        <v>250000</v>
      </c>
      <c r="E10" s="6"/>
      <c r="F10" s="14"/>
      <c r="G10" s="11" t="s">
        <v>168</v>
      </c>
      <c r="H10" s="19">
        <f>'Income and Expense Inputs'!J14</f>
        <v>1025</v>
      </c>
      <c r="I10" s="20"/>
      <c r="J10" s="14"/>
      <c r="K10" s="11" t="s">
        <v>7</v>
      </c>
      <c r="L10" s="12">
        <v>18500000</v>
      </c>
      <c r="M10" s="165">
        <f>L10/L11</f>
        <v>0.90243902439024393</v>
      </c>
      <c r="N10" s="17"/>
    </row>
    <row r="11" spans="2:14" x14ac:dyDescent="0.25">
      <c r="B11" s="10"/>
      <c r="C11" s="11" t="s">
        <v>8</v>
      </c>
      <c r="D11" s="21">
        <v>0.02</v>
      </c>
      <c r="E11" s="6"/>
      <c r="F11" s="14"/>
      <c r="G11" s="18"/>
      <c r="H11" s="6"/>
      <c r="I11" s="6"/>
      <c r="J11" s="14"/>
      <c r="K11" s="11" t="s">
        <v>9</v>
      </c>
      <c r="L11" s="22">
        <f>SUM(L9:L10)</f>
        <v>20500000</v>
      </c>
      <c r="M11" s="22"/>
      <c r="N11" s="17"/>
    </row>
    <row r="12" spans="2:14" x14ac:dyDescent="0.25">
      <c r="B12" s="10"/>
      <c r="C12" s="11" t="s">
        <v>10</v>
      </c>
      <c r="D12" s="21">
        <v>0.06</v>
      </c>
      <c r="E12" s="23" t="str">
        <f>IF(D12&lt;L39,"Warning!!!"," ")</f>
        <v xml:space="preserve"> </v>
      </c>
      <c r="F12" s="14"/>
      <c r="G12" s="11" t="s">
        <v>11</v>
      </c>
      <c r="H12" s="12">
        <v>125000</v>
      </c>
      <c r="I12" s="24"/>
      <c r="J12" s="14"/>
      <c r="K12" s="6"/>
      <c r="L12" s="6"/>
      <c r="M12" s="6"/>
      <c r="N12" s="25"/>
    </row>
    <row r="13" spans="2:14" x14ac:dyDescent="0.25">
      <c r="B13" s="10"/>
      <c r="C13" s="6"/>
      <c r="D13" s="6"/>
      <c r="E13" s="6"/>
      <c r="F13" s="14"/>
      <c r="G13" s="11" t="s">
        <v>12</v>
      </c>
      <c r="H13" s="26">
        <f>'Income and Expense Inputs'!F33/(H10*12*H9)</f>
        <v>0.49538376739699602</v>
      </c>
      <c r="I13" s="27"/>
      <c r="J13" s="14"/>
      <c r="K13" s="11" t="s">
        <v>13</v>
      </c>
      <c r="L13" s="28" t="s">
        <v>148</v>
      </c>
      <c r="M13" s="145"/>
      <c r="N13" s="29"/>
    </row>
    <row r="14" spans="2:14" x14ac:dyDescent="0.25">
      <c r="B14" s="155"/>
      <c r="C14" s="172" t="s">
        <v>15</v>
      </c>
      <c r="D14" s="172"/>
      <c r="E14" s="6"/>
      <c r="F14" s="14"/>
      <c r="G14" s="11" t="s">
        <v>16</v>
      </c>
      <c r="H14" s="21">
        <v>7.0000000000000007E-2</v>
      </c>
      <c r="I14" s="30"/>
      <c r="J14" s="14"/>
      <c r="K14" s="11" t="s">
        <v>17</v>
      </c>
      <c r="L14" s="11">
        <f>IF(L13="Commercial",39,27.5)</f>
        <v>27.5</v>
      </c>
      <c r="M14" s="11"/>
      <c r="N14" s="29"/>
    </row>
    <row r="15" spans="2:14" x14ac:dyDescent="0.25">
      <c r="B15" s="10"/>
      <c r="C15" s="148"/>
      <c r="D15" s="148"/>
      <c r="E15" s="6"/>
      <c r="F15" s="6"/>
      <c r="G15" s="6"/>
      <c r="H15" s="6"/>
      <c r="I15" s="6"/>
      <c r="J15" s="6"/>
      <c r="K15" s="11" t="s">
        <v>18</v>
      </c>
      <c r="L15" s="31">
        <v>0.37</v>
      </c>
      <c r="M15" s="146"/>
      <c r="N15" s="25"/>
    </row>
    <row r="16" spans="2:14" x14ac:dyDescent="0.25">
      <c r="B16" s="10"/>
      <c r="C16" s="11" t="s">
        <v>19</v>
      </c>
      <c r="D16" s="26">
        <v>0.75</v>
      </c>
      <c r="E16" s="6"/>
      <c r="F16" s="192" t="s">
        <v>20</v>
      </c>
      <c r="G16" s="192"/>
      <c r="H16" s="192"/>
      <c r="I16" s="32"/>
      <c r="J16" s="14"/>
      <c r="K16" s="11" t="s">
        <v>21</v>
      </c>
      <c r="L16" s="31">
        <v>0.2</v>
      </c>
      <c r="M16" s="146"/>
      <c r="N16" s="25"/>
    </row>
    <row r="17" spans="2:14" x14ac:dyDescent="0.25">
      <c r="B17" s="10"/>
      <c r="C17" s="18" t="s">
        <v>22</v>
      </c>
      <c r="D17" s="33">
        <v>1.25</v>
      </c>
      <c r="E17" s="6"/>
      <c r="F17" s="6"/>
      <c r="G17" s="148"/>
      <c r="H17" s="148"/>
      <c r="I17" s="34"/>
      <c r="J17" s="14"/>
      <c r="K17" s="11" t="s">
        <v>23</v>
      </c>
      <c r="L17" s="31">
        <v>0.25</v>
      </c>
      <c r="M17" s="146"/>
      <c r="N17" s="25"/>
    </row>
    <row r="18" spans="2:14" x14ac:dyDescent="0.25">
      <c r="B18" s="10"/>
      <c r="C18" s="11" t="s">
        <v>24</v>
      </c>
      <c r="D18" s="35">
        <v>0.01</v>
      </c>
      <c r="E18" s="6"/>
      <c r="F18" s="6"/>
      <c r="G18" s="11" t="s">
        <v>25</v>
      </c>
      <c r="H18" s="21">
        <v>0.1</v>
      </c>
      <c r="I18" s="34"/>
      <c r="J18" s="14"/>
      <c r="K18" s="6"/>
      <c r="L18" s="6"/>
      <c r="M18" s="6"/>
      <c r="N18" s="25"/>
    </row>
    <row r="19" spans="2:14" x14ac:dyDescent="0.25">
      <c r="B19" s="10"/>
      <c r="C19" s="11" t="s">
        <v>26</v>
      </c>
      <c r="D19" s="36">
        <v>3.15E-2</v>
      </c>
      <c r="E19" s="6"/>
      <c r="F19" s="6"/>
      <c r="G19" s="11" t="s">
        <v>27</v>
      </c>
      <c r="H19" s="21">
        <v>0.08</v>
      </c>
      <c r="I19" s="30"/>
      <c r="J19" s="14"/>
      <c r="K19" s="18" t="s">
        <v>28</v>
      </c>
      <c r="L19" s="37">
        <v>0</v>
      </c>
      <c r="M19" s="147"/>
      <c r="N19" s="25"/>
    </row>
    <row r="20" spans="2:14" x14ac:dyDescent="0.25">
      <c r="B20" s="10"/>
      <c r="C20" s="11" t="s">
        <v>29</v>
      </c>
      <c r="D20" s="38">
        <v>30</v>
      </c>
      <c r="E20" s="6"/>
      <c r="F20" s="6"/>
      <c r="G20" s="39" t="s">
        <v>30</v>
      </c>
      <c r="H20" s="21">
        <v>0.04</v>
      </c>
      <c r="I20" s="30"/>
      <c r="J20" s="14"/>
      <c r="K20" s="6"/>
      <c r="L20" s="6"/>
      <c r="M20" s="6"/>
      <c r="N20" s="25"/>
    </row>
    <row r="21" spans="2:14" x14ac:dyDescent="0.25">
      <c r="B21" s="10"/>
      <c r="C21" s="18" t="s">
        <v>31</v>
      </c>
      <c r="D21" s="38">
        <v>10</v>
      </c>
      <c r="E21" s="6"/>
      <c r="F21" s="6"/>
      <c r="G21" s="39" t="s">
        <v>32</v>
      </c>
      <c r="H21" s="21">
        <v>0.1</v>
      </c>
      <c r="I21" s="6"/>
      <c r="J21" s="14"/>
      <c r="K21" s="192" t="s">
        <v>151</v>
      </c>
      <c r="L21" s="192"/>
      <c r="M21" s="192"/>
      <c r="N21" s="25"/>
    </row>
    <row r="22" spans="2:14" x14ac:dyDescent="0.25">
      <c r="B22" s="10"/>
      <c r="C22" s="6"/>
      <c r="D22" s="6"/>
      <c r="E22" s="6"/>
      <c r="F22" s="6"/>
      <c r="G22" s="6"/>
      <c r="H22" s="6"/>
      <c r="I22" s="6"/>
      <c r="J22" s="14"/>
      <c r="K22" s="148"/>
      <c r="L22" s="154" t="s">
        <v>14</v>
      </c>
      <c r="M22" s="154" t="s">
        <v>148</v>
      </c>
      <c r="N22" s="25"/>
    </row>
    <row r="23" spans="2:14" x14ac:dyDescent="0.25">
      <c r="B23" s="10"/>
      <c r="C23" s="6"/>
      <c r="D23" s="6"/>
      <c r="E23" s="6"/>
      <c r="F23" s="6"/>
      <c r="G23" s="6"/>
      <c r="H23" s="6"/>
      <c r="I23" s="6"/>
      <c r="J23" s="14"/>
      <c r="K23" s="149" t="s">
        <v>149</v>
      </c>
      <c r="L23" s="164">
        <v>2.564E-2</v>
      </c>
      <c r="M23" s="164">
        <v>3.6360000000000003E-2</v>
      </c>
      <c r="N23" s="25"/>
    </row>
    <row r="24" spans="2:14" x14ac:dyDescent="0.25">
      <c r="B24" s="10"/>
      <c r="C24" s="193" t="s">
        <v>33</v>
      </c>
      <c r="D24" s="193"/>
      <c r="E24" s="193"/>
      <c r="F24" s="193"/>
      <c r="G24" s="193"/>
      <c r="H24" s="193"/>
      <c r="I24" s="193"/>
      <c r="J24" s="11"/>
      <c r="K24" s="150" t="s">
        <v>150</v>
      </c>
      <c r="L24" s="164">
        <v>2.461E-2</v>
      </c>
      <c r="M24" s="164">
        <v>3.4849999999999999E-2</v>
      </c>
      <c r="N24" s="25"/>
    </row>
    <row r="25" spans="2:14" x14ac:dyDescent="0.25">
      <c r="B25" s="10"/>
      <c r="C25" s="6"/>
      <c r="D25" s="6"/>
      <c r="E25" s="6"/>
      <c r="F25" s="6"/>
      <c r="G25" s="6"/>
      <c r="H25" s="6"/>
      <c r="I25" s="6"/>
      <c r="J25" s="11"/>
      <c r="K25" s="34"/>
      <c r="L25" s="6"/>
      <c r="M25" s="6"/>
      <c r="N25" s="25"/>
    </row>
    <row r="26" spans="2:14" x14ac:dyDescent="0.25">
      <c r="B26" s="10"/>
      <c r="C26" s="6"/>
      <c r="D26" s="32" t="s">
        <v>34</v>
      </c>
      <c r="E26" s="32" t="s">
        <v>35</v>
      </c>
      <c r="F26" s="32" t="s">
        <v>36</v>
      </c>
      <c r="G26" s="32" t="s">
        <v>37</v>
      </c>
      <c r="H26" s="32" t="s">
        <v>38</v>
      </c>
      <c r="I26" s="32" t="s">
        <v>39</v>
      </c>
      <c r="J26" s="11"/>
      <c r="K26" s="34"/>
      <c r="L26" s="6"/>
      <c r="M26" s="6"/>
      <c r="N26" s="25"/>
    </row>
    <row r="27" spans="2:14" x14ac:dyDescent="0.25">
      <c r="B27" s="10"/>
      <c r="C27" s="11" t="s">
        <v>40</v>
      </c>
      <c r="D27" s="40" t="s">
        <v>41</v>
      </c>
      <c r="E27" s="41">
        <v>0.03</v>
      </c>
      <c r="F27" s="41">
        <v>0.03</v>
      </c>
      <c r="G27" s="41">
        <v>0.03</v>
      </c>
      <c r="H27" s="41">
        <v>0.03</v>
      </c>
      <c r="I27" s="41">
        <v>0.03</v>
      </c>
      <c r="J27" s="11"/>
      <c r="K27" s="34"/>
      <c r="L27" s="6"/>
      <c r="M27" s="6"/>
      <c r="N27" s="25"/>
    </row>
    <row r="28" spans="2:14" x14ac:dyDescent="0.25">
      <c r="B28" s="10"/>
      <c r="C28" s="42" t="s">
        <v>42</v>
      </c>
      <c r="D28" s="43"/>
      <c r="E28" s="43"/>
      <c r="F28" s="43"/>
      <c r="G28" s="43"/>
      <c r="H28" s="43"/>
      <c r="I28" s="43"/>
      <c r="J28" s="11"/>
      <c r="K28" s="34"/>
      <c r="L28" s="6"/>
      <c r="M28" s="6"/>
      <c r="N28" s="25"/>
    </row>
    <row r="29" spans="2:14" x14ac:dyDescent="0.25">
      <c r="B29" s="10"/>
      <c r="C29" s="11" t="s">
        <v>43</v>
      </c>
      <c r="D29" s="44" t="s">
        <v>44</v>
      </c>
      <c r="E29" s="41">
        <v>0.02</v>
      </c>
      <c r="F29" s="41">
        <v>0.02</v>
      </c>
      <c r="G29" s="41">
        <v>0.02</v>
      </c>
      <c r="H29" s="41">
        <v>0.02</v>
      </c>
      <c r="I29" s="41">
        <v>0.02</v>
      </c>
      <c r="J29" s="11"/>
      <c r="K29" s="34"/>
      <c r="L29" s="6"/>
      <c r="M29" s="6"/>
      <c r="N29" s="25"/>
    </row>
    <row r="30" spans="2:14" x14ac:dyDescent="0.25">
      <c r="B30" s="10"/>
      <c r="C30" s="45" t="str">
        <f>IF(D29="Growth","Operating Expense Ratio","Op Ex Growth")</f>
        <v>Operating Expense Ratio</v>
      </c>
      <c r="D30" s="46"/>
      <c r="E30" s="46"/>
      <c r="F30" s="46"/>
      <c r="G30" s="46"/>
      <c r="H30" s="46"/>
      <c r="I30" s="46"/>
      <c r="J30" s="11"/>
      <c r="K30" s="34"/>
      <c r="L30" s="6"/>
      <c r="M30" s="6"/>
      <c r="N30" s="25"/>
    </row>
    <row r="31" spans="2:14" x14ac:dyDescent="0.25">
      <c r="B31" s="10"/>
      <c r="C31" s="47" t="s">
        <v>45</v>
      </c>
      <c r="D31" s="48" t="s">
        <v>41</v>
      </c>
      <c r="E31" s="41">
        <v>7.0000000000000007E-2</v>
      </c>
      <c r="F31" s="41">
        <v>7.0000000000000007E-2</v>
      </c>
      <c r="G31" s="41">
        <v>7.0000000000000007E-2</v>
      </c>
      <c r="H31" s="41">
        <v>7.0000000000000007E-2</v>
      </c>
      <c r="I31" s="41">
        <v>7.0000000000000007E-2</v>
      </c>
      <c r="J31" s="11"/>
      <c r="K31" s="34"/>
      <c r="L31" s="6"/>
      <c r="M31" s="6"/>
      <c r="N31" s="25"/>
    </row>
    <row r="32" spans="2:14" x14ac:dyDescent="0.25">
      <c r="B32" s="10"/>
      <c r="C32" s="18" t="s">
        <v>46</v>
      </c>
      <c r="D32" s="48" t="s">
        <v>41</v>
      </c>
      <c r="E32" s="41">
        <v>7.0000000000000007E-2</v>
      </c>
      <c r="F32" s="41">
        <v>7.0000000000000007E-2</v>
      </c>
      <c r="G32" s="41">
        <v>7.0000000000000007E-2</v>
      </c>
      <c r="H32" s="41">
        <v>7.0000000000000007E-2</v>
      </c>
      <c r="I32" s="41">
        <v>7.0000000000000007E-2</v>
      </c>
      <c r="J32" s="11"/>
      <c r="K32" s="34"/>
      <c r="L32" s="6"/>
      <c r="M32" s="6"/>
      <c r="N32" s="25"/>
    </row>
    <row r="33" spans="2:14" x14ac:dyDescent="0.25">
      <c r="B33" s="153"/>
      <c r="C33" s="148"/>
      <c r="D33" s="148"/>
      <c r="E33" s="148"/>
      <c r="F33" s="148"/>
      <c r="G33" s="148"/>
      <c r="H33" s="148"/>
      <c r="I33" s="148"/>
      <c r="J33" s="11"/>
      <c r="K33" s="34"/>
      <c r="L33" s="6"/>
      <c r="M33" s="6"/>
      <c r="N33" s="25"/>
    </row>
    <row r="34" spans="2:14" ht="15.75" thickBot="1" x14ac:dyDescent="0.3">
      <c r="B34" s="49"/>
      <c r="C34" s="50"/>
      <c r="D34" s="51"/>
      <c r="E34" s="51"/>
      <c r="F34" s="51"/>
      <c r="G34" s="51"/>
      <c r="H34" s="51"/>
      <c r="I34" s="51"/>
      <c r="J34" s="52"/>
      <c r="K34" s="53"/>
      <c r="L34" s="54"/>
      <c r="M34" s="54"/>
      <c r="N34" s="55"/>
    </row>
    <row r="35" spans="2:14" ht="15.75" thickBot="1" x14ac:dyDescent="0.3">
      <c r="B35" s="1"/>
      <c r="C35" s="1"/>
      <c r="D35" s="1"/>
      <c r="E35" s="1"/>
      <c r="F35" s="1"/>
      <c r="G35" s="1"/>
      <c r="H35" s="1"/>
      <c r="I35" s="1"/>
      <c r="J35" s="56"/>
      <c r="K35" s="57"/>
      <c r="L35" s="1"/>
      <c r="M35" s="1"/>
      <c r="N35" s="1"/>
    </row>
    <row r="36" spans="2:14" ht="15.75" thickBot="1" x14ac:dyDescent="0.3">
      <c r="B36" s="194" t="s">
        <v>47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6"/>
    </row>
    <row r="37" spans="2:14" x14ac:dyDescent="0.2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2:14" x14ac:dyDescent="0.25">
      <c r="B38" s="204" t="s">
        <v>48</v>
      </c>
      <c r="C38" s="205"/>
      <c r="D38" s="61"/>
      <c r="E38" s="176" t="s">
        <v>49</v>
      </c>
      <c r="F38" s="178"/>
      <c r="G38" s="61"/>
      <c r="H38" s="176" t="s">
        <v>50</v>
      </c>
      <c r="I38" s="178"/>
      <c r="J38" s="61"/>
      <c r="K38" s="206" t="s">
        <v>51</v>
      </c>
      <c r="L38" s="206"/>
      <c r="M38" s="151"/>
      <c r="N38" s="62"/>
    </row>
    <row r="39" spans="2:14" x14ac:dyDescent="0.25">
      <c r="B39" s="100" t="s">
        <v>52</v>
      </c>
      <c r="C39" s="68">
        <f>D9</f>
        <v>27500000</v>
      </c>
      <c r="D39" s="61"/>
      <c r="E39" s="65" t="s">
        <v>53</v>
      </c>
      <c r="F39" s="66">
        <f>D9*D16</f>
        <v>20625000</v>
      </c>
      <c r="G39" s="61"/>
      <c r="H39" s="61" t="s">
        <v>54</v>
      </c>
      <c r="I39" s="67">
        <f>RATE(60,-D57/12,F42-C41,-L52)*12</f>
        <v>3.3792076106052338E-2</v>
      </c>
      <c r="J39" s="61"/>
      <c r="K39" s="68" t="s">
        <v>55</v>
      </c>
      <c r="L39" s="141">
        <f>IFERROR(D56/C39, "NA")</f>
        <v>5.1830582875468198E-2</v>
      </c>
      <c r="M39" s="141"/>
      <c r="N39" s="62"/>
    </row>
    <row r="40" spans="2:14" x14ac:dyDescent="0.25">
      <c r="B40" s="69" t="s">
        <v>56</v>
      </c>
      <c r="C40" s="68">
        <f>D10</f>
        <v>250000</v>
      </c>
      <c r="D40" s="61"/>
      <c r="E40" s="65" t="s">
        <v>57</v>
      </c>
      <c r="F40" s="71">
        <f>IFERROR(PMT(D19/12,D20*12,-1)*12,0)</f>
        <v>5.1568425933349926E-2</v>
      </c>
      <c r="G40" s="61"/>
      <c r="H40" s="61" t="s">
        <v>58</v>
      </c>
      <c r="I40" s="72">
        <f>RATE(D21*12,-D57/12,F42-C41,-I41)*12</f>
        <v>3.2811011440009377E-2</v>
      </c>
      <c r="J40" s="61"/>
      <c r="K40" s="68" t="s">
        <v>59</v>
      </c>
      <c r="L40" s="141">
        <f>IFERROR(D58/C43, "NA")</f>
        <v>4.9342505602732602E-2</v>
      </c>
      <c r="M40" s="141"/>
      <c r="N40" s="62"/>
    </row>
    <row r="41" spans="2:14" x14ac:dyDescent="0.25">
      <c r="B41" s="69" t="s">
        <v>60</v>
      </c>
      <c r="C41" s="68">
        <f>IFERROR(F42*D18,0)</f>
        <v>206250</v>
      </c>
      <c r="D41" s="61"/>
      <c r="E41" s="65" t="s">
        <v>61</v>
      </c>
      <c r="F41" s="66">
        <f>IFERROR(D56/D17/F40,0)</f>
        <v>22111840.77509087</v>
      </c>
      <c r="G41" s="61"/>
      <c r="H41" s="61"/>
      <c r="I41" s="73">
        <f>FV(D19/12,D21*12,D57/12,-F42)</f>
        <v>15767207.067542022</v>
      </c>
      <c r="J41" s="61"/>
      <c r="K41" s="68" t="s">
        <v>62</v>
      </c>
      <c r="L41" s="142">
        <f>IFERROR(D55/D54, "NA")</f>
        <v>0.49538376739699602</v>
      </c>
      <c r="M41" s="142"/>
      <c r="N41" s="62"/>
    </row>
    <row r="42" spans="2:14" x14ac:dyDescent="0.25">
      <c r="B42" s="69" t="s">
        <v>63</v>
      </c>
      <c r="C42" s="115">
        <f>IFERROR(F42,0)</f>
        <v>20625000</v>
      </c>
      <c r="D42" s="61"/>
      <c r="E42" s="65" t="s">
        <v>64</v>
      </c>
      <c r="F42" s="75">
        <f>ROUNDDOWN(MIN(F39,F41),-3)</f>
        <v>20625000</v>
      </c>
      <c r="G42" s="61"/>
      <c r="H42" s="61"/>
      <c r="I42" s="61"/>
      <c r="J42" s="61"/>
      <c r="K42" s="76" t="s">
        <v>147</v>
      </c>
      <c r="L42" s="142">
        <f>IFERROR((D55+D57)/D51,"NA")</f>
        <v>0.84844348759816968</v>
      </c>
      <c r="M42" s="142"/>
      <c r="N42" s="62"/>
    </row>
    <row r="43" spans="2:14" x14ac:dyDescent="0.25">
      <c r="B43" s="69" t="s">
        <v>65</v>
      </c>
      <c r="C43" s="68">
        <f>C39+C40+C41-C42</f>
        <v>7331250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</row>
    <row r="44" spans="2:14" ht="15.75" thickBot="1" x14ac:dyDescent="0.3">
      <c r="B44" s="77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</row>
    <row r="45" spans="2:14" ht="15.75" thickBot="1" x14ac:dyDescent="0.3">
      <c r="B45" s="81"/>
      <c r="C45" s="6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2:14" ht="19.5" thickBot="1" x14ac:dyDescent="0.35">
      <c r="B46" s="207" t="s">
        <v>66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9"/>
    </row>
    <row r="47" spans="2:14" x14ac:dyDescent="0.25">
      <c r="B47" s="58"/>
      <c r="C47" s="59"/>
      <c r="D47" s="59"/>
      <c r="E47" s="82"/>
      <c r="F47" s="59"/>
      <c r="G47" s="59"/>
      <c r="H47" s="59"/>
      <c r="I47" s="59"/>
      <c r="J47" s="59"/>
      <c r="K47" s="59"/>
      <c r="L47" s="59"/>
      <c r="M47" s="59"/>
      <c r="N47" s="60"/>
    </row>
    <row r="48" spans="2:14" x14ac:dyDescent="0.25">
      <c r="B48" s="197" t="s">
        <v>67</v>
      </c>
      <c r="C48" s="198"/>
      <c r="D48" s="198"/>
      <c r="E48" s="198"/>
      <c r="F48" s="198"/>
      <c r="G48" s="198"/>
      <c r="H48" s="198"/>
      <c r="I48" s="199"/>
      <c r="J48" s="61"/>
      <c r="K48" s="200" t="s">
        <v>68</v>
      </c>
      <c r="L48" s="199"/>
      <c r="M48" s="152"/>
      <c r="N48" s="62"/>
    </row>
    <row r="49" spans="2:15" x14ac:dyDescent="0.25">
      <c r="B49" s="83"/>
      <c r="C49" s="84"/>
      <c r="D49" s="84"/>
      <c r="E49" s="84"/>
      <c r="F49" s="84"/>
      <c r="G49" s="84"/>
      <c r="H49" s="84"/>
      <c r="I49" s="85"/>
      <c r="J49" s="61"/>
      <c r="K49" s="83"/>
      <c r="L49" s="85"/>
      <c r="M49" s="61"/>
      <c r="N49" s="62"/>
    </row>
    <row r="50" spans="2:15" x14ac:dyDescent="0.25">
      <c r="B50" s="86"/>
      <c r="C50" s="61"/>
      <c r="D50" s="87" t="s">
        <v>69</v>
      </c>
      <c r="E50" s="87" t="s">
        <v>70</v>
      </c>
      <c r="F50" s="87" t="s">
        <v>71</v>
      </c>
      <c r="G50" s="87" t="s">
        <v>72</v>
      </c>
      <c r="H50" s="87" t="s">
        <v>73</v>
      </c>
      <c r="I50" s="88" t="s">
        <v>74</v>
      </c>
      <c r="J50" s="61"/>
      <c r="K50" s="89" t="s">
        <v>75</v>
      </c>
      <c r="L50" s="70">
        <f>IFERROR(I56/D12,0)</f>
        <v>29333341.826460004</v>
      </c>
      <c r="M50" s="68"/>
      <c r="N50" s="62"/>
    </row>
    <row r="51" spans="2:15" x14ac:dyDescent="0.25">
      <c r="B51" s="86"/>
      <c r="C51" s="65" t="s">
        <v>76</v>
      </c>
      <c r="D51" s="90">
        <f>H10*H9*12</f>
        <v>2902800</v>
      </c>
      <c r="E51" s="90">
        <f>D51*(1+E27)</f>
        <v>2989884</v>
      </c>
      <c r="F51" s="90">
        <f t="shared" ref="F51:I51" si="0">E51*(1+F27)</f>
        <v>3079580.52</v>
      </c>
      <c r="G51" s="90">
        <f t="shared" si="0"/>
        <v>3171967.9356</v>
      </c>
      <c r="H51" s="90">
        <f t="shared" si="0"/>
        <v>3267126.9736680002</v>
      </c>
      <c r="I51" s="91">
        <f t="shared" si="0"/>
        <v>3365140.7828780403</v>
      </c>
      <c r="J51" s="61"/>
      <c r="K51" s="89" t="s">
        <v>77</v>
      </c>
      <c r="L51" s="70">
        <f>L50*D11</f>
        <v>586666.83652920008</v>
      </c>
      <c r="M51" s="68"/>
      <c r="N51" s="62"/>
    </row>
    <row r="52" spans="2:15" x14ac:dyDescent="0.25">
      <c r="B52" s="86"/>
      <c r="C52" s="92" t="s">
        <v>78</v>
      </c>
      <c r="D52" s="90">
        <f>D51*H14</f>
        <v>203196.00000000003</v>
      </c>
      <c r="E52" s="90">
        <f>E51*E32</f>
        <v>209291.88000000003</v>
      </c>
      <c r="F52" s="90">
        <f t="shared" ref="F52:I52" si="1">F51*F32</f>
        <v>215570.63640000002</v>
      </c>
      <c r="G52" s="90">
        <f t="shared" si="1"/>
        <v>222037.75549200003</v>
      </c>
      <c r="H52" s="90">
        <f t="shared" si="1"/>
        <v>228698.88815676005</v>
      </c>
      <c r="I52" s="91">
        <f t="shared" si="1"/>
        <v>235559.85480146285</v>
      </c>
      <c r="J52" s="61"/>
      <c r="K52" s="93" t="s">
        <v>79</v>
      </c>
      <c r="L52" s="74">
        <f>FV(D19/12,60,D57/12,-F42)</f>
        <v>18386735.641362242</v>
      </c>
      <c r="M52" s="68"/>
      <c r="N52" s="62"/>
    </row>
    <row r="53" spans="2:15" x14ac:dyDescent="0.25">
      <c r="B53" s="86"/>
      <c r="C53" s="92" t="s">
        <v>80</v>
      </c>
      <c r="D53" s="94">
        <f>H12</f>
        <v>125000</v>
      </c>
      <c r="E53" s="94">
        <f>D53*(1+E31)</f>
        <v>133750</v>
      </c>
      <c r="F53" s="94">
        <f t="shared" ref="F53:I53" si="2">E53*(1+F31)</f>
        <v>143112.5</v>
      </c>
      <c r="G53" s="94">
        <f t="shared" si="2"/>
        <v>153130.375</v>
      </c>
      <c r="H53" s="94">
        <f t="shared" si="2"/>
        <v>163849.50125</v>
      </c>
      <c r="I53" s="95">
        <f t="shared" si="2"/>
        <v>175318.96633750002</v>
      </c>
      <c r="J53" s="61"/>
      <c r="K53" s="89" t="s">
        <v>81</v>
      </c>
      <c r="L53" s="70">
        <f>L50-L51-L52</f>
        <v>10359939.348568562</v>
      </c>
      <c r="M53" s="68"/>
      <c r="N53" s="62"/>
    </row>
    <row r="54" spans="2:15" x14ac:dyDescent="0.25">
      <c r="B54" s="86"/>
      <c r="C54" s="92" t="s">
        <v>144</v>
      </c>
      <c r="D54" s="90">
        <f>D51-D52+D53</f>
        <v>2824604</v>
      </c>
      <c r="E54" s="90">
        <f>E51-E52+E53</f>
        <v>2914342.12</v>
      </c>
      <c r="F54" s="90">
        <f t="shared" ref="F54:I54" si="3">F51-F52+F53</f>
        <v>3007122.3835999998</v>
      </c>
      <c r="G54" s="90">
        <f t="shared" si="3"/>
        <v>3103060.5551080001</v>
      </c>
      <c r="H54" s="90">
        <f t="shared" si="3"/>
        <v>3202277.5867612404</v>
      </c>
      <c r="I54" s="91">
        <f t="shared" si="3"/>
        <v>3304899.8944140775</v>
      </c>
      <c r="J54" s="61"/>
      <c r="K54" s="96"/>
      <c r="L54" s="97"/>
      <c r="M54" s="61"/>
      <c r="N54" s="62"/>
      <c r="O54" s="1"/>
    </row>
    <row r="55" spans="2:15" x14ac:dyDescent="0.25">
      <c r="B55" s="86"/>
      <c r="C55" s="92" t="s">
        <v>82</v>
      </c>
      <c r="D55" s="94">
        <f>D54*H13</f>
        <v>1399262.9709246245</v>
      </c>
      <c r="E55" s="94">
        <f>IF($D$29="Growth",D55*(1+E29),E54*E29)</f>
        <v>1427248.2303431169</v>
      </c>
      <c r="F55" s="94">
        <f t="shared" ref="F55:I55" si="4">IF($D$29="Growth",E55*(1+F29),F54*F29)</f>
        <v>1455793.1949499792</v>
      </c>
      <c r="G55" s="94">
        <f t="shared" si="4"/>
        <v>1484909.0588489787</v>
      </c>
      <c r="H55" s="94">
        <f t="shared" si="4"/>
        <v>1514607.2400259583</v>
      </c>
      <c r="I55" s="95">
        <f t="shared" si="4"/>
        <v>1544899.3848264774</v>
      </c>
      <c r="J55" s="61"/>
      <c r="K55" s="61"/>
      <c r="L55" s="61"/>
      <c r="M55" s="61"/>
      <c r="N55" s="62"/>
      <c r="O55" s="98"/>
    </row>
    <row r="56" spans="2:15" x14ac:dyDescent="0.25">
      <c r="B56" s="86"/>
      <c r="C56" s="92" t="s">
        <v>83</v>
      </c>
      <c r="D56" s="90">
        <f>D54-D55</f>
        <v>1425341.0290753755</v>
      </c>
      <c r="E56" s="90">
        <f>E54-E55</f>
        <v>1487093.8896568832</v>
      </c>
      <c r="F56" s="90">
        <f t="shared" ref="F56:I56" si="5">F54-F55</f>
        <v>1551329.1886500206</v>
      </c>
      <c r="G56" s="90">
        <f t="shared" si="5"/>
        <v>1618151.4962590213</v>
      </c>
      <c r="H56" s="90">
        <f t="shared" si="5"/>
        <v>1687670.3467352821</v>
      </c>
      <c r="I56" s="91">
        <f t="shared" si="5"/>
        <v>1760000.5095876001</v>
      </c>
      <c r="J56" s="61"/>
      <c r="K56" s="61"/>
      <c r="L56" s="61"/>
      <c r="M56" s="61"/>
      <c r="N56" s="62"/>
      <c r="O56" s="1"/>
    </row>
    <row r="57" spans="2:15" x14ac:dyDescent="0.25">
      <c r="B57" s="86"/>
      <c r="C57" s="92" t="s">
        <v>84</v>
      </c>
      <c r="D57" s="94">
        <f>$F$42*$F$40</f>
        <v>1063598.7848753422</v>
      </c>
      <c r="E57" s="94">
        <f t="shared" ref="E57:H57" si="6">$F$42*$F$40</f>
        <v>1063598.7848753422</v>
      </c>
      <c r="F57" s="94">
        <f t="shared" si="6"/>
        <v>1063598.7848753422</v>
      </c>
      <c r="G57" s="94">
        <f t="shared" si="6"/>
        <v>1063598.7848753422</v>
      </c>
      <c r="H57" s="94">
        <f t="shared" si="6"/>
        <v>1063598.7848753422</v>
      </c>
      <c r="I57" s="91"/>
      <c r="J57" s="61"/>
      <c r="K57" s="61"/>
      <c r="L57" s="61"/>
      <c r="M57" s="61"/>
      <c r="N57" s="62"/>
      <c r="O57" s="1"/>
    </row>
    <row r="58" spans="2:15" x14ac:dyDescent="0.25">
      <c r="B58" s="96"/>
      <c r="C58" s="99" t="s">
        <v>85</v>
      </c>
      <c r="D58" s="94">
        <f>D56-D57</f>
        <v>361742.24420003337</v>
      </c>
      <c r="E58" s="94">
        <f t="shared" ref="E58:H58" si="7">E56-E57</f>
        <v>423495.10478154104</v>
      </c>
      <c r="F58" s="94">
        <f t="shared" si="7"/>
        <v>487730.40377467847</v>
      </c>
      <c r="G58" s="94">
        <f t="shared" si="7"/>
        <v>554552.71138367918</v>
      </c>
      <c r="H58" s="94">
        <f t="shared" si="7"/>
        <v>624071.56185993995</v>
      </c>
      <c r="I58" s="95"/>
      <c r="J58" s="61"/>
      <c r="K58" s="61"/>
      <c r="L58" s="61"/>
      <c r="M58" s="61"/>
      <c r="N58" s="62"/>
      <c r="O58" s="1"/>
    </row>
    <row r="59" spans="2:15" x14ac:dyDescent="0.25">
      <c r="B59" s="10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2"/>
      <c r="O59" s="1"/>
    </row>
    <row r="60" spans="2:15" x14ac:dyDescent="0.25">
      <c r="B60" s="201" t="s">
        <v>86</v>
      </c>
      <c r="C60" s="202"/>
      <c r="D60" s="202"/>
      <c r="E60" s="202"/>
      <c r="F60" s="202"/>
      <c r="G60" s="202"/>
      <c r="H60" s="202"/>
      <c r="I60" s="203"/>
      <c r="J60" s="61"/>
      <c r="K60" s="200" t="s">
        <v>87</v>
      </c>
      <c r="L60" s="199"/>
      <c r="M60" s="152"/>
      <c r="N60" s="62"/>
      <c r="O60" s="1"/>
    </row>
    <row r="61" spans="2:15" x14ac:dyDescent="0.25">
      <c r="B61" s="63"/>
      <c r="C61" s="84"/>
      <c r="D61" s="84"/>
      <c r="E61" s="84"/>
      <c r="F61" s="84"/>
      <c r="G61" s="84"/>
      <c r="H61" s="84"/>
      <c r="I61" s="85"/>
      <c r="J61" s="61"/>
      <c r="K61" s="83"/>
      <c r="L61" s="85"/>
      <c r="M61" s="61"/>
      <c r="N61" s="62"/>
      <c r="O61" s="1"/>
    </row>
    <row r="62" spans="2:15" x14ac:dyDescent="0.25">
      <c r="B62" s="101" t="s">
        <v>88</v>
      </c>
      <c r="C62" s="87" t="s">
        <v>89</v>
      </c>
      <c r="D62" s="87" t="s">
        <v>90</v>
      </c>
      <c r="E62" s="87" t="s">
        <v>91</v>
      </c>
      <c r="F62" s="87" t="s">
        <v>92</v>
      </c>
      <c r="G62" s="87" t="s">
        <v>93</v>
      </c>
      <c r="H62" s="87" t="s">
        <v>94</v>
      </c>
      <c r="I62" s="102"/>
      <c r="J62" s="61"/>
      <c r="K62" s="89" t="s">
        <v>95</v>
      </c>
      <c r="L62" s="132">
        <f>H18</f>
        <v>0.1</v>
      </c>
      <c r="M62" s="72"/>
      <c r="N62" s="62"/>
      <c r="O62" s="1"/>
    </row>
    <row r="63" spans="2:15" x14ac:dyDescent="0.25">
      <c r="B63" s="103">
        <f>IFERROR(IRR(C63:H63),0)</f>
        <v>0.12865392893813299</v>
      </c>
      <c r="C63" s="68">
        <f>-C43</f>
        <v>-7331250</v>
      </c>
      <c r="D63" s="68">
        <f>D58</f>
        <v>361742.24420003337</v>
      </c>
      <c r="E63" s="68">
        <f t="shared" ref="E63:G63" si="8">E58</f>
        <v>423495.10478154104</v>
      </c>
      <c r="F63" s="68">
        <f t="shared" si="8"/>
        <v>487730.40377467847</v>
      </c>
      <c r="G63" s="68">
        <f t="shared" si="8"/>
        <v>554552.71138367918</v>
      </c>
      <c r="H63" s="68">
        <f>H58+L53</f>
        <v>10984010.910428502</v>
      </c>
      <c r="I63" s="102"/>
      <c r="J63" s="61"/>
      <c r="K63" s="89" t="s">
        <v>96</v>
      </c>
      <c r="L63" s="104">
        <f>NPV(L62,D63:H63)</f>
        <v>8244265.1617906149</v>
      </c>
      <c r="M63" s="137"/>
      <c r="N63" s="62"/>
      <c r="O63" s="1"/>
    </row>
    <row r="64" spans="2:15" x14ac:dyDescent="0.25">
      <c r="B64" s="105" t="s">
        <v>97</v>
      </c>
      <c r="C64" s="106"/>
      <c r="D64" s="61"/>
      <c r="E64" s="61"/>
      <c r="F64" s="61"/>
      <c r="G64" s="61"/>
      <c r="H64" s="61"/>
      <c r="I64" s="102"/>
      <c r="J64" s="61"/>
      <c r="K64" s="89" t="s">
        <v>98</v>
      </c>
      <c r="L64" s="104">
        <f>L63+C63</f>
        <v>913015.16179061495</v>
      </c>
      <c r="M64" s="137"/>
      <c r="N64" s="62"/>
      <c r="O64" s="1"/>
    </row>
    <row r="65" spans="2:15" x14ac:dyDescent="0.25">
      <c r="B65" s="107">
        <f>IFERROR(MIRR(C63:H63,H20,H21),0)</f>
        <v>0.12612725504073663</v>
      </c>
      <c r="C65" s="108">
        <f>NPV(H21,D63:H63)</f>
        <v>8244265.1617906149</v>
      </c>
      <c r="D65" s="109"/>
      <c r="E65" s="109"/>
      <c r="F65" s="110" t="s">
        <v>99</v>
      </c>
      <c r="G65" s="109"/>
      <c r="H65" s="111">
        <f>FV(H21,5,,-C65)</f>
        <v>13277471.485715408</v>
      </c>
      <c r="I65" s="97"/>
      <c r="J65" s="61"/>
      <c r="K65" s="96"/>
      <c r="L65" s="97"/>
      <c r="M65" s="61"/>
      <c r="N65" s="62"/>
      <c r="O65" s="1"/>
    </row>
    <row r="66" spans="2:15" ht="15.75" thickBot="1" x14ac:dyDescent="0.3">
      <c r="B66" s="112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1"/>
    </row>
    <row r="67" spans="2:15" x14ac:dyDescent="0.25">
      <c r="O67" s="1"/>
    </row>
    <row r="68" spans="2:15" ht="15.75" thickBot="1" x14ac:dyDescent="0.3">
      <c r="O68" s="1"/>
    </row>
    <row r="69" spans="2:15" ht="19.5" thickBot="1" x14ac:dyDescent="0.35">
      <c r="B69" s="189" t="s">
        <v>100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1"/>
      <c r="O69" s="1"/>
    </row>
    <row r="70" spans="2:15" x14ac:dyDescent="0.25"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60"/>
      <c r="O70" s="1"/>
    </row>
    <row r="71" spans="2:15" x14ac:dyDescent="0.25">
      <c r="B71" s="179" t="s">
        <v>101</v>
      </c>
      <c r="C71" s="180"/>
      <c r="D71" s="180"/>
      <c r="E71" s="180"/>
      <c r="F71" s="180"/>
      <c r="G71" s="180"/>
      <c r="H71" s="180"/>
      <c r="I71" s="181"/>
      <c r="J71" s="61"/>
      <c r="K71" s="182" t="s">
        <v>102</v>
      </c>
      <c r="L71" s="181"/>
      <c r="M71" s="152"/>
      <c r="N71" s="62"/>
    </row>
    <row r="72" spans="2:15" x14ac:dyDescent="0.25">
      <c r="B72" s="63"/>
      <c r="C72" s="84"/>
      <c r="D72" s="113" t="s">
        <v>69</v>
      </c>
      <c r="E72" s="113" t="s">
        <v>70</v>
      </c>
      <c r="F72" s="113" t="s">
        <v>71</v>
      </c>
      <c r="G72" s="113" t="s">
        <v>72</v>
      </c>
      <c r="H72" s="113" t="s">
        <v>73</v>
      </c>
      <c r="I72" s="85"/>
      <c r="J72" s="61"/>
      <c r="K72" s="114" t="s">
        <v>75</v>
      </c>
      <c r="L72" s="64">
        <f>L50</f>
        <v>29333341.826460004</v>
      </c>
      <c r="M72" s="68"/>
      <c r="N72" s="62"/>
    </row>
    <row r="73" spans="2:15" x14ac:dyDescent="0.25">
      <c r="B73" s="100"/>
      <c r="C73" s="65" t="s">
        <v>103</v>
      </c>
      <c r="D73" s="68">
        <f>D56</f>
        <v>1425341.0290753755</v>
      </c>
      <c r="E73" s="68">
        <f t="shared" ref="E73:H73" si="9">E56</f>
        <v>1487093.8896568832</v>
      </c>
      <c r="F73" s="68">
        <f t="shared" si="9"/>
        <v>1551329.1886500206</v>
      </c>
      <c r="G73" s="68">
        <f t="shared" si="9"/>
        <v>1618151.4962590213</v>
      </c>
      <c r="H73" s="68">
        <f t="shared" si="9"/>
        <v>1687670.3467352821</v>
      </c>
      <c r="I73" s="102"/>
      <c r="J73" s="61"/>
      <c r="K73" s="89" t="s">
        <v>77</v>
      </c>
      <c r="L73" s="70">
        <f>L51</f>
        <v>586666.83652920008</v>
      </c>
      <c r="M73" s="68"/>
      <c r="N73" s="62"/>
    </row>
    <row r="74" spans="2:15" x14ac:dyDescent="0.25">
      <c r="B74" s="100"/>
      <c r="C74" s="92" t="s">
        <v>136</v>
      </c>
      <c r="D74" s="68">
        <f>D112</f>
        <v>643659.0570574603</v>
      </c>
      <c r="E74" s="68">
        <f t="shared" ref="E74:H74" si="10">E112</f>
        <v>630238.29392398661</v>
      </c>
      <c r="F74" s="68">
        <f t="shared" si="10"/>
        <v>616388.61951810261</v>
      </c>
      <c r="G74" s="68">
        <f t="shared" si="10"/>
        <v>602096.32635681843</v>
      </c>
      <c r="H74" s="68">
        <f t="shared" si="10"/>
        <v>587347.26888283854</v>
      </c>
      <c r="I74" s="102"/>
      <c r="J74" s="61"/>
      <c r="K74" s="89" t="s">
        <v>104</v>
      </c>
      <c r="L74" s="74">
        <f>L52</f>
        <v>18386735.641362242</v>
      </c>
      <c r="M74" s="68"/>
      <c r="N74" s="62"/>
    </row>
    <row r="75" spans="2:15" x14ac:dyDescent="0.25">
      <c r="B75" s="100"/>
      <c r="C75" s="92" t="s">
        <v>145</v>
      </c>
      <c r="D75" s="68">
        <f>IF(L13="Commercial",($D$9+$D$10)*$M$10*L24,($D$9+$D$10)*$M$10*M24)</f>
        <v>872737.49999999988</v>
      </c>
      <c r="E75" s="68">
        <f>IF($L$13="Commercial",($D$9+$D$10)*$M$10*$L$23,($D$9+$D$10)*$M$10*$M$23)</f>
        <v>910551.95121951227</v>
      </c>
      <c r="F75" s="68">
        <f t="shared" ref="F75:G75" si="11">IF($L$13="Commercial",($D$9+$D$10)*$M$10*$L$23,($D$9+$D$10)*$M$10*$M$23)</f>
        <v>910551.95121951227</v>
      </c>
      <c r="G75" s="68">
        <f t="shared" si="11"/>
        <v>910551.95121951227</v>
      </c>
      <c r="H75" s="68">
        <f>D75</f>
        <v>872737.49999999988</v>
      </c>
      <c r="I75" s="102"/>
      <c r="J75" s="61"/>
      <c r="K75" s="89" t="s">
        <v>81</v>
      </c>
      <c r="L75" s="70">
        <f>L72-L73-L74</f>
        <v>10359939.348568562</v>
      </c>
      <c r="M75" s="68"/>
      <c r="N75" s="62"/>
    </row>
    <row r="76" spans="2:15" x14ac:dyDescent="0.25">
      <c r="B76" s="100"/>
      <c r="C76" s="92" t="s">
        <v>106</v>
      </c>
      <c r="D76" s="115">
        <f>IFERROR($C$41/$D$21,0)</f>
        <v>20625</v>
      </c>
      <c r="E76" s="115">
        <f t="shared" ref="E76:H76" si="12">IFERROR($C$41/$D$21,0)</f>
        <v>20625</v>
      </c>
      <c r="F76" s="115">
        <f t="shared" si="12"/>
        <v>20625</v>
      </c>
      <c r="G76" s="115">
        <f t="shared" si="12"/>
        <v>20625</v>
      </c>
      <c r="H76" s="115">
        <f t="shared" si="12"/>
        <v>20625</v>
      </c>
      <c r="I76" s="102"/>
      <c r="J76" s="61"/>
      <c r="K76" s="93" t="s">
        <v>107</v>
      </c>
      <c r="L76" s="74">
        <f>IFERROR(C93,0)</f>
        <v>1280461.4614007948</v>
      </c>
      <c r="M76" s="68"/>
      <c r="N76" s="62"/>
    </row>
    <row r="77" spans="2:15" x14ac:dyDescent="0.25">
      <c r="B77" s="100"/>
      <c r="C77" s="92" t="s">
        <v>146</v>
      </c>
      <c r="D77" s="68">
        <f>D73-D74-D75-D76</f>
        <v>-111680.52798208466</v>
      </c>
      <c r="E77" s="68">
        <f t="shared" ref="E77:H77" si="13">E73-E74-E75-E76</f>
        <v>-74321.355486615677</v>
      </c>
      <c r="F77" s="68">
        <f t="shared" si="13"/>
        <v>3763.6179124057526</v>
      </c>
      <c r="G77" s="68">
        <f t="shared" si="13"/>
        <v>84878.21868269064</v>
      </c>
      <c r="H77" s="68">
        <f t="shared" si="13"/>
        <v>206960.57785244368</v>
      </c>
      <c r="I77" s="102"/>
      <c r="J77" s="61"/>
      <c r="K77" s="116" t="s">
        <v>108</v>
      </c>
      <c r="L77" s="74">
        <f>L75-L76</f>
        <v>9079477.8871677667</v>
      </c>
      <c r="M77" s="68"/>
      <c r="N77" s="62"/>
    </row>
    <row r="78" spans="2:15" x14ac:dyDescent="0.25">
      <c r="B78" s="100"/>
      <c r="C78" s="92" t="s">
        <v>127</v>
      </c>
      <c r="D78" s="117">
        <f>$L$15</f>
        <v>0.37</v>
      </c>
      <c r="E78" s="117">
        <f t="shared" ref="E78:H78" si="14">$L$15</f>
        <v>0.37</v>
      </c>
      <c r="F78" s="117">
        <f t="shared" si="14"/>
        <v>0.37</v>
      </c>
      <c r="G78" s="117">
        <f t="shared" si="14"/>
        <v>0.37</v>
      </c>
      <c r="H78" s="117">
        <f t="shared" si="14"/>
        <v>0.37</v>
      </c>
      <c r="I78" s="102"/>
      <c r="J78" s="61"/>
      <c r="K78" s="61"/>
      <c r="L78" s="61"/>
      <c r="M78" s="61"/>
      <c r="N78" s="62"/>
    </row>
    <row r="79" spans="2:15" x14ac:dyDescent="0.25">
      <c r="B79" s="100"/>
      <c r="C79" s="65" t="s">
        <v>109</v>
      </c>
      <c r="D79" s="68">
        <f>D77*D78</f>
        <v>-41321.795353371323</v>
      </c>
      <c r="E79" s="68">
        <f t="shared" ref="E79:H79" si="15">E77*E78</f>
        <v>-27498.901530047799</v>
      </c>
      <c r="F79" s="68">
        <f t="shared" si="15"/>
        <v>1392.5386275901285</v>
      </c>
      <c r="G79" s="68">
        <f t="shared" si="15"/>
        <v>31404.940912595535</v>
      </c>
      <c r="H79" s="68">
        <f t="shared" si="15"/>
        <v>76575.413805404154</v>
      </c>
      <c r="I79" s="102"/>
      <c r="J79" s="61"/>
      <c r="K79" s="61"/>
      <c r="L79" s="61"/>
      <c r="M79" s="61"/>
      <c r="N79" s="62"/>
    </row>
    <row r="80" spans="2:15" x14ac:dyDescent="0.25">
      <c r="B80" s="100"/>
      <c r="C80" s="65"/>
      <c r="D80" s="118"/>
      <c r="E80" s="118"/>
      <c r="F80" s="118"/>
      <c r="G80" s="118"/>
      <c r="H80" s="118"/>
      <c r="I80" s="102"/>
      <c r="J80" s="61"/>
      <c r="K80" s="61"/>
      <c r="L80" s="61"/>
      <c r="M80" s="61"/>
      <c r="N80" s="62"/>
    </row>
    <row r="81" spans="2:14" x14ac:dyDescent="0.25">
      <c r="B81" s="100"/>
      <c r="C81" s="65" t="s">
        <v>110</v>
      </c>
      <c r="D81" s="68">
        <f>D58</f>
        <v>361742.24420003337</v>
      </c>
      <c r="E81" s="68">
        <f t="shared" ref="E81:H81" si="16">E58</f>
        <v>423495.10478154104</v>
      </c>
      <c r="F81" s="68">
        <f t="shared" si="16"/>
        <v>487730.40377467847</v>
      </c>
      <c r="G81" s="68">
        <f t="shared" si="16"/>
        <v>554552.71138367918</v>
      </c>
      <c r="H81" s="68">
        <f t="shared" si="16"/>
        <v>624071.56185993995</v>
      </c>
      <c r="I81" s="102"/>
      <c r="J81" s="61"/>
      <c r="K81" s="61"/>
      <c r="L81" s="61"/>
      <c r="M81" s="61"/>
      <c r="N81" s="62"/>
    </row>
    <row r="82" spans="2:14" x14ac:dyDescent="0.25">
      <c r="B82" s="100"/>
      <c r="C82" s="92" t="s">
        <v>111</v>
      </c>
      <c r="D82" s="115">
        <f>D79</f>
        <v>-41321.795353371323</v>
      </c>
      <c r="E82" s="115">
        <f t="shared" ref="E82:H82" si="17">E79</f>
        <v>-27498.901530047799</v>
      </c>
      <c r="F82" s="115">
        <f t="shared" si="17"/>
        <v>1392.5386275901285</v>
      </c>
      <c r="G82" s="115">
        <f t="shared" si="17"/>
        <v>31404.940912595535</v>
      </c>
      <c r="H82" s="115">
        <f t="shared" si="17"/>
        <v>76575.413805404154</v>
      </c>
      <c r="I82" s="102"/>
      <c r="J82" s="61"/>
      <c r="K82" s="61"/>
      <c r="L82" s="61"/>
      <c r="M82" s="61"/>
      <c r="N82" s="62"/>
    </row>
    <row r="83" spans="2:14" x14ac:dyDescent="0.25">
      <c r="B83" s="119"/>
      <c r="C83" s="120" t="s">
        <v>112</v>
      </c>
      <c r="D83" s="115">
        <f>D81-D82</f>
        <v>403064.03955340467</v>
      </c>
      <c r="E83" s="115">
        <f t="shared" ref="E83:H83" si="18">E81-E82</f>
        <v>450994.00631158886</v>
      </c>
      <c r="F83" s="115">
        <f t="shared" si="18"/>
        <v>486337.86514708836</v>
      </c>
      <c r="G83" s="115">
        <f t="shared" si="18"/>
        <v>523147.77047108364</v>
      </c>
      <c r="H83" s="115">
        <f t="shared" si="18"/>
        <v>547496.14805453573</v>
      </c>
      <c r="I83" s="97"/>
      <c r="J83" s="61"/>
      <c r="K83" s="61"/>
      <c r="L83" s="61"/>
      <c r="M83" s="61"/>
      <c r="N83" s="62"/>
    </row>
    <row r="84" spans="2:14" x14ac:dyDescent="0.25">
      <c r="B84" s="100"/>
      <c r="C84" s="61"/>
      <c r="D84" s="68"/>
      <c r="E84" s="68"/>
      <c r="F84" s="121"/>
      <c r="G84" s="68"/>
      <c r="H84" s="68"/>
      <c r="I84" s="61"/>
      <c r="J84" s="61"/>
      <c r="K84" s="61"/>
      <c r="L84" s="61"/>
      <c r="M84" s="61"/>
      <c r="N84" s="62"/>
    </row>
    <row r="85" spans="2:14" x14ac:dyDescent="0.25">
      <c r="B85" s="179" t="s">
        <v>113</v>
      </c>
      <c r="C85" s="180"/>
      <c r="D85" s="181"/>
      <c r="E85" s="61"/>
      <c r="F85" s="182" t="s">
        <v>114</v>
      </c>
      <c r="G85" s="180"/>
      <c r="H85" s="181"/>
      <c r="I85" s="61"/>
      <c r="J85" s="61"/>
      <c r="K85" s="61"/>
      <c r="L85" s="61"/>
      <c r="M85" s="61"/>
      <c r="N85" s="62"/>
    </row>
    <row r="86" spans="2:14" x14ac:dyDescent="0.25">
      <c r="B86" s="122" t="s">
        <v>75</v>
      </c>
      <c r="C86" s="68">
        <f>L72</f>
        <v>29333341.826460004</v>
      </c>
      <c r="D86" s="102"/>
      <c r="E86" s="61"/>
      <c r="F86" s="114" t="s">
        <v>115</v>
      </c>
      <c r="G86" s="123"/>
      <c r="H86" s="64">
        <f>C39+C40</f>
        <v>27750000</v>
      </c>
      <c r="I86" s="61"/>
      <c r="J86" s="61"/>
      <c r="K86" s="61"/>
      <c r="L86" s="61"/>
      <c r="M86" s="61"/>
      <c r="N86" s="62"/>
    </row>
    <row r="87" spans="2:14" x14ac:dyDescent="0.25">
      <c r="B87" s="122" t="s">
        <v>77</v>
      </c>
      <c r="C87" s="68">
        <f>L73</f>
        <v>586666.83652920008</v>
      </c>
      <c r="D87" s="102"/>
      <c r="E87" s="61"/>
      <c r="F87" s="93" t="s">
        <v>105</v>
      </c>
      <c r="G87" s="68"/>
      <c r="H87" s="70">
        <f>SUM(D75:H75)</f>
        <v>4477130.8536585364</v>
      </c>
      <c r="I87" s="61"/>
      <c r="J87" s="61"/>
      <c r="K87" s="61"/>
      <c r="L87" s="61"/>
      <c r="M87" s="61"/>
      <c r="N87" s="62"/>
    </row>
    <row r="88" spans="2:14" x14ac:dyDescent="0.25">
      <c r="B88" s="122" t="s">
        <v>116</v>
      </c>
      <c r="C88" s="115">
        <f>H89</f>
        <v>23272869.146341465</v>
      </c>
      <c r="D88" s="102"/>
      <c r="E88" s="61"/>
      <c r="F88" s="93" t="s">
        <v>117</v>
      </c>
      <c r="G88" s="124"/>
      <c r="H88" s="125">
        <f>L19</f>
        <v>0</v>
      </c>
      <c r="I88" s="61"/>
      <c r="J88" s="61"/>
      <c r="K88" s="61"/>
      <c r="L88" s="61"/>
      <c r="M88" s="61"/>
      <c r="N88" s="62"/>
    </row>
    <row r="89" spans="2:14" x14ac:dyDescent="0.25">
      <c r="B89" s="122" t="s">
        <v>118</v>
      </c>
      <c r="C89" s="68">
        <f>C86-C87-C88</f>
        <v>5473805.8435893394</v>
      </c>
      <c r="D89" s="102"/>
      <c r="E89" s="61"/>
      <c r="F89" s="116" t="s">
        <v>119</v>
      </c>
      <c r="G89" s="115"/>
      <c r="H89" s="74">
        <f>H86-H87+H88</f>
        <v>23272869.146341465</v>
      </c>
      <c r="I89" s="61"/>
      <c r="J89" s="61"/>
      <c r="K89" s="61"/>
      <c r="L89" s="61"/>
      <c r="M89" s="61"/>
      <c r="N89" s="62"/>
    </row>
    <row r="90" spans="2:14" x14ac:dyDescent="0.25">
      <c r="B90" s="122"/>
      <c r="C90" s="61"/>
      <c r="D90" s="102"/>
      <c r="E90" s="61"/>
      <c r="F90" s="61"/>
      <c r="G90" s="61"/>
      <c r="H90" s="61"/>
      <c r="I90" s="61"/>
      <c r="J90" s="61"/>
      <c r="K90" s="61"/>
      <c r="L90" s="61"/>
      <c r="M90" s="61"/>
      <c r="N90" s="62"/>
    </row>
    <row r="91" spans="2:14" x14ac:dyDescent="0.25">
      <c r="B91" s="122" t="s">
        <v>120</v>
      </c>
      <c r="C91" s="68">
        <f>H87</f>
        <v>4477130.8536585364</v>
      </c>
      <c r="D91" s="126">
        <f>L17</f>
        <v>0.25</v>
      </c>
      <c r="E91" s="61"/>
      <c r="F91" s="182" t="s">
        <v>121</v>
      </c>
      <c r="G91" s="180"/>
      <c r="H91" s="181"/>
      <c r="I91" s="61"/>
      <c r="J91" s="61"/>
      <c r="K91" s="61"/>
      <c r="L91" s="61"/>
      <c r="M91" s="61"/>
      <c r="N91" s="62"/>
    </row>
    <row r="92" spans="2:14" x14ac:dyDescent="0.25">
      <c r="B92" s="122" t="s">
        <v>122</v>
      </c>
      <c r="C92" s="68">
        <f>C89-C91</f>
        <v>996674.98993080296</v>
      </c>
      <c r="D92" s="126">
        <f>L16</f>
        <v>0.2</v>
      </c>
      <c r="E92" s="61"/>
      <c r="F92" s="83" t="s">
        <v>123</v>
      </c>
      <c r="G92" s="84"/>
      <c r="H92" s="64">
        <f>C41</f>
        <v>206250</v>
      </c>
      <c r="I92" s="61"/>
      <c r="J92" s="61"/>
      <c r="K92" s="61"/>
      <c r="L92" s="61"/>
      <c r="M92" s="61"/>
      <c r="N92" s="62"/>
    </row>
    <row r="93" spans="2:14" x14ac:dyDescent="0.25">
      <c r="B93" s="127" t="s">
        <v>124</v>
      </c>
      <c r="C93" s="115">
        <f>(C91*D91)+(C92*D92)-H96</f>
        <v>1280461.4614007948</v>
      </c>
      <c r="D93" s="128">
        <f>IFERROR(C93/C89,0)</f>
        <v>0.23392526114173565</v>
      </c>
      <c r="E93" s="61"/>
      <c r="F93" s="129" t="s">
        <v>125</v>
      </c>
      <c r="G93" s="61"/>
      <c r="H93" s="74">
        <f>SUM(D76:H76)</f>
        <v>103125</v>
      </c>
      <c r="I93" s="61"/>
      <c r="J93" s="61"/>
      <c r="K93" s="61"/>
      <c r="L93" s="61"/>
      <c r="M93" s="61"/>
      <c r="N93" s="62"/>
    </row>
    <row r="94" spans="2:14" x14ac:dyDescent="0.25">
      <c r="B94" s="100"/>
      <c r="C94" s="61"/>
      <c r="D94" s="61"/>
      <c r="E94" s="61"/>
      <c r="F94" s="129" t="s">
        <v>126</v>
      </c>
      <c r="G94" s="61"/>
      <c r="H94" s="70">
        <f>H92-H93</f>
        <v>103125</v>
      </c>
      <c r="I94" s="61"/>
      <c r="J94" s="61"/>
      <c r="K94" s="61"/>
      <c r="L94" s="61"/>
      <c r="M94" s="61"/>
      <c r="N94" s="62"/>
    </row>
    <row r="95" spans="2:14" x14ac:dyDescent="0.25">
      <c r="B95" s="100"/>
      <c r="C95" s="61"/>
      <c r="D95" s="61"/>
      <c r="E95" s="61"/>
      <c r="F95" s="129" t="s">
        <v>127</v>
      </c>
      <c r="G95" s="61"/>
      <c r="H95" s="130">
        <f>L15</f>
        <v>0.37</v>
      </c>
      <c r="I95" s="61"/>
      <c r="J95" s="61"/>
      <c r="K95" s="61"/>
      <c r="L95" s="61"/>
      <c r="M95" s="61"/>
      <c r="N95" s="62"/>
    </row>
    <row r="96" spans="2:14" x14ac:dyDescent="0.25">
      <c r="B96" s="100"/>
      <c r="C96" s="61"/>
      <c r="D96" s="61"/>
      <c r="E96" s="61"/>
      <c r="F96" s="131" t="s">
        <v>128</v>
      </c>
      <c r="G96" s="109"/>
      <c r="H96" s="74">
        <f>H94*H95</f>
        <v>38156.25</v>
      </c>
      <c r="I96" s="61"/>
      <c r="J96" s="61"/>
      <c r="K96" s="61"/>
      <c r="L96" s="61"/>
      <c r="M96" s="61"/>
      <c r="N96" s="62"/>
    </row>
    <row r="97" spans="2:14" x14ac:dyDescent="0.25">
      <c r="B97" s="10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/>
    </row>
    <row r="98" spans="2:14" x14ac:dyDescent="0.25">
      <c r="B98" s="10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/>
    </row>
    <row r="99" spans="2:14" x14ac:dyDescent="0.25">
      <c r="B99" s="183" t="s">
        <v>129</v>
      </c>
      <c r="C99" s="184"/>
      <c r="D99" s="184"/>
      <c r="E99" s="184"/>
      <c r="F99" s="184"/>
      <c r="G99" s="184"/>
      <c r="H99" s="184"/>
      <c r="I99" s="185"/>
      <c r="J99" s="61"/>
      <c r="K99" s="182" t="s">
        <v>130</v>
      </c>
      <c r="L99" s="181"/>
      <c r="M99" s="152"/>
      <c r="N99" s="62"/>
    </row>
    <row r="100" spans="2:14" x14ac:dyDescent="0.25">
      <c r="B100" s="63"/>
      <c r="C100" s="84"/>
      <c r="D100" s="84"/>
      <c r="E100" s="84"/>
      <c r="F100" s="84"/>
      <c r="G100" s="84"/>
      <c r="H100" s="84"/>
      <c r="I100" s="85"/>
      <c r="J100" s="61"/>
      <c r="K100" s="83"/>
      <c r="L100" s="85"/>
      <c r="M100" s="61"/>
      <c r="N100" s="62"/>
    </row>
    <row r="101" spans="2:14" x14ac:dyDescent="0.25">
      <c r="B101" s="101" t="s">
        <v>131</v>
      </c>
      <c r="C101" s="87" t="s">
        <v>89</v>
      </c>
      <c r="D101" s="87" t="s">
        <v>90</v>
      </c>
      <c r="E101" s="87" t="s">
        <v>91</v>
      </c>
      <c r="F101" s="87" t="s">
        <v>92</v>
      </c>
      <c r="G101" s="87" t="s">
        <v>93</v>
      </c>
      <c r="H101" s="87" t="s">
        <v>94</v>
      </c>
      <c r="I101" s="102"/>
      <c r="J101" s="61"/>
      <c r="K101" s="89" t="s">
        <v>95</v>
      </c>
      <c r="L101" s="132">
        <f>H19</f>
        <v>0.08</v>
      </c>
      <c r="M101" s="72"/>
      <c r="N101" s="62"/>
    </row>
    <row r="102" spans="2:14" x14ac:dyDescent="0.25">
      <c r="B102" s="103">
        <f>IFERROR(IRR(C102:H102),0)</f>
        <v>0.10358357080124203</v>
      </c>
      <c r="C102" s="68">
        <f>-C43</f>
        <v>-7331250</v>
      </c>
      <c r="D102" s="68">
        <f>D83</f>
        <v>403064.03955340467</v>
      </c>
      <c r="E102" s="68">
        <f t="shared" ref="E102:G102" si="19">E83</f>
        <v>450994.00631158886</v>
      </c>
      <c r="F102" s="68">
        <f t="shared" si="19"/>
        <v>486337.86514708836</v>
      </c>
      <c r="G102" s="68">
        <f t="shared" si="19"/>
        <v>523147.77047108364</v>
      </c>
      <c r="H102" s="68">
        <f>H83+L77</f>
        <v>9626974.0352223031</v>
      </c>
      <c r="I102" s="102"/>
      <c r="J102" s="61"/>
      <c r="K102" s="89" t="s">
        <v>96</v>
      </c>
      <c r="L102" s="104">
        <f>NPV(L101,D102:H102)</f>
        <v>8082418.7861206383</v>
      </c>
      <c r="M102" s="137"/>
      <c r="N102" s="62"/>
    </row>
    <row r="103" spans="2:14" x14ac:dyDescent="0.25">
      <c r="B103" s="133" t="s">
        <v>132</v>
      </c>
      <c r="C103" s="106"/>
      <c r="D103" s="61"/>
      <c r="E103" s="61"/>
      <c r="F103" s="61"/>
      <c r="G103" s="61"/>
      <c r="H103" s="61"/>
      <c r="I103" s="102"/>
      <c r="J103" s="61"/>
      <c r="K103" s="89" t="s">
        <v>98</v>
      </c>
      <c r="L103" s="104">
        <f>L102+C102</f>
        <v>751168.78612063825</v>
      </c>
      <c r="M103" s="137"/>
      <c r="N103" s="62"/>
    </row>
    <row r="104" spans="2:14" x14ac:dyDescent="0.25">
      <c r="B104" s="107">
        <f>IFERROR(MIRR(C102:H102,H20,H21),0)</f>
        <v>0.10322784604438295</v>
      </c>
      <c r="C104" s="108">
        <f>NPV(H21,D102:H102)</f>
        <v>7439447.4311114689</v>
      </c>
      <c r="D104" s="109"/>
      <c r="E104" s="109"/>
      <c r="F104" s="110" t="s">
        <v>99</v>
      </c>
      <c r="G104" s="109"/>
      <c r="H104" s="111">
        <f>FV(H21,5,,-C104)</f>
        <v>11981304.482279336</v>
      </c>
      <c r="I104" s="97"/>
      <c r="J104" s="61"/>
      <c r="K104" s="96"/>
      <c r="L104" s="125"/>
      <c r="M104" s="143"/>
      <c r="N104" s="62"/>
    </row>
    <row r="105" spans="2:14" ht="15.75" thickBot="1" x14ac:dyDescent="0.3">
      <c r="B105" s="13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80"/>
    </row>
    <row r="108" spans="2:14" x14ac:dyDescent="0.25">
      <c r="B108" s="176" t="s">
        <v>133</v>
      </c>
      <c r="C108" s="177"/>
      <c r="D108" s="177"/>
      <c r="E108" s="177"/>
      <c r="F108" s="177"/>
      <c r="G108" s="177"/>
      <c r="H108" s="178"/>
    </row>
    <row r="109" spans="2:14" x14ac:dyDescent="0.25">
      <c r="B109" s="83"/>
      <c r="C109" s="84"/>
      <c r="D109" s="84"/>
      <c r="E109" s="84"/>
      <c r="F109" s="84"/>
      <c r="G109" s="84"/>
      <c r="H109" s="85"/>
    </row>
    <row r="110" spans="2:14" x14ac:dyDescent="0.25">
      <c r="B110" s="86" t="s">
        <v>134</v>
      </c>
      <c r="C110" s="135">
        <v>0</v>
      </c>
      <c r="D110" s="135">
        <v>1</v>
      </c>
      <c r="E110" s="135">
        <v>2</v>
      </c>
      <c r="F110" s="135">
        <v>3</v>
      </c>
      <c r="G110" s="135">
        <v>4</v>
      </c>
      <c r="H110" s="136">
        <v>5</v>
      </c>
    </row>
    <row r="111" spans="2:14" x14ac:dyDescent="0.25">
      <c r="B111" s="86" t="s">
        <v>135</v>
      </c>
      <c r="C111" s="68">
        <f>F42</f>
        <v>20625000</v>
      </c>
      <c r="D111" s="137">
        <f>PV($D$19/12,D114,-$D$57/12)</f>
        <v>20205060.272182118</v>
      </c>
      <c r="E111" s="137">
        <f>PV($D$19/12,E114,-$D$57/12)</f>
        <v>19771699.781230763</v>
      </c>
      <c r="F111" s="137">
        <f>PV($D$19/12,F114,-$D$57/12)</f>
        <v>19324489.615873523</v>
      </c>
      <c r="G111" s="137">
        <f>PV($D$19/12,G114,-$D$57/12)</f>
        <v>18862987.157354999</v>
      </c>
      <c r="H111" s="104">
        <f>PV($D$19/12,H114,-$D$57/12)</f>
        <v>18386735.641362496</v>
      </c>
    </row>
    <row r="112" spans="2:14" x14ac:dyDescent="0.25">
      <c r="B112" s="86" t="s">
        <v>136</v>
      </c>
      <c r="C112" s="61"/>
      <c r="D112" s="68">
        <f>D57-D113</f>
        <v>643659.0570574603</v>
      </c>
      <c r="E112" s="68">
        <f t="shared" ref="E112:H112" si="20">E57-E113</f>
        <v>630238.29392398661</v>
      </c>
      <c r="F112" s="68">
        <f t="shared" si="20"/>
        <v>616388.61951810261</v>
      </c>
      <c r="G112" s="68">
        <f t="shared" si="20"/>
        <v>602096.32635681843</v>
      </c>
      <c r="H112" s="70">
        <f t="shared" si="20"/>
        <v>587347.26888283854</v>
      </c>
    </row>
    <row r="113" spans="2:8" x14ac:dyDescent="0.25">
      <c r="B113" s="86" t="s">
        <v>137</v>
      </c>
      <c r="C113" s="61"/>
      <c r="D113" s="68">
        <f>C111-D111</f>
        <v>419939.72781788185</v>
      </c>
      <c r="E113" s="68">
        <f t="shared" ref="E113:H113" si="21">D111-E111</f>
        <v>433360.49095135555</v>
      </c>
      <c r="F113" s="68">
        <f t="shared" si="21"/>
        <v>447210.16535723954</v>
      </c>
      <c r="G113" s="68">
        <f t="shared" si="21"/>
        <v>461502.45851852372</v>
      </c>
      <c r="H113" s="70">
        <f t="shared" si="21"/>
        <v>476251.51599250361</v>
      </c>
    </row>
    <row r="114" spans="2:8" x14ac:dyDescent="0.25">
      <c r="B114" s="86" t="s">
        <v>138</v>
      </c>
      <c r="C114" s="87">
        <f>D20*12</f>
        <v>360</v>
      </c>
      <c r="D114" s="87">
        <f>C114-12</f>
        <v>348</v>
      </c>
      <c r="E114" s="87">
        <f t="shared" ref="E114:H114" si="22">D114-12</f>
        <v>336</v>
      </c>
      <c r="F114" s="87">
        <f t="shared" si="22"/>
        <v>324</v>
      </c>
      <c r="G114" s="87">
        <f t="shared" si="22"/>
        <v>312</v>
      </c>
      <c r="H114" s="88">
        <f t="shared" si="22"/>
        <v>300</v>
      </c>
    </row>
    <row r="115" spans="2:8" x14ac:dyDescent="0.25">
      <c r="B115" s="96"/>
      <c r="C115" s="109"/>
      <c r="D115" s="115"/>
      <c r="E115" s="109"/>
      <c r="F115" s="109"/>
      <c r="G115" s="109"/>
      <c r="H115" s="97"/>
    </row>
    <row r="118" spans="2:8" x14ac:dyDescent="0.25">
      <c r="B118" s="176" t="s">
        <v>139</v>
      </c>
      <c r="C118" s="177"/>
      <c r="D118" s="177"/>
      <c r="E118" s="177"/>
      <c r="F118" s="177"/>
      <c r="G118" s="177"/>
      <c r="H118" s="178"/>
    </row>
    <row r="119" spans="2:8" x14ac:dyDescent="0.25">
      <c r="B119" s="83"/>
      <c r="C119" s="113">
        <v>0</v>
      </c>
      <c r="D119" s="113">
        <v>1</v>
      </c>
      <c r="E119" s="113">
        <v>2</v>
      </c>
      <c r="F119" s="113">
        <v>3</v>
      </c>
      <c r="G119" s="113">
        <v>4</v>
      </c>
      <c r="H119" s="138">
        <v>5</v>
      </c>
    </row>
    <row r="120" spans="2:8" x14ac:dyDescent="0.25">
      <c r="B120" s="86" t="s">
        <v>140</v>
      </c>
      <c r="C120" s="68">
        <f>(D9+D10)*-1</f>
        <v>-27750000</v>
      </c>
      <c r="D120" s="68">
        <f>D56</f>
        <v>1425341.0290753755</v>
      </c>
      <c r="E120" s="68">
        <f t="shared" ref="E120:G120" si="23">E56</f>
        <v>1487093.8896568832</v>
      </c>
      <c r="F120" s="68">
        <f t="shared" si="23"/>
        <v>1551329.1886500206</v>
      </c>
      <c r="G120" s="68">
        <f t="shared" si="23"/>
        <v>1618151.4962590213</v>
      </c>
      <c r="H120" s="70">
        <f>H56+L50-L51</f>
        <v>30434345.336666089</v>
      </c>
    </row>
    <row r="121" spans="2:8" x14ac:dyDescent="0.25">
      <c r="B121" s="139">
        <f>IFERROR(IRR(C120:H120),0)</f>
        <v>6.2058434903303317E-2</v>
      </c>
      <c r="C121" s="61"/>
      <c r="D121" s="61"/>
      <c r="E121" s="61"/>
      <c r="F121" s="61"/>
      <c r="G121" s="61"/>
      <c r="H121" s="102"/>
    </row>
    <row r="122" spans="2:8" x14ac:dyDescent="0.25">
      <c r="B122" s="86" t="s">
        <v>141</v>
      </c>
      <c r="C122" s="68">
        <f>C63</f>
        <v>-7331250</v>
      </c>
      <c r="D122" s="68">
        <f t="shared" ref="D122:H122" si="24">D63</f>
        <v>361742.24420003337</v>
      </c>
      <c r="E122" s="68">
        <f t="shared" si="24"/>
        <v>423495.10478154104</v>
      </c>
      <c r="F122" s="68">
        <f t="shared" si="24"/>
        <v>487730.40377467847</v>
      </c>
      <c r="G122" s="68">
        <f t="shared" si="24"/>
        <v>554552.71138367918</v>
      </c>
      <c r="H122" s="70">
        <f t="shared" si="24"/>
        <v>10984010.910428502</v>
      </c>
    </row>
    <row r="123" spans="2:8" x14ac:dyDescent="0.25">
      <c r="B123" s="139">
        <f>IFERROR(IRR(C122:H122),0)</f>
        <v>0.12865392893813299</v>
      </c>
      <c r="C123" s="61"/>
      <c r="D123" s="61"/>
      <c r="E123" s="61"/>
      <c r="F123" s="61"/>
      <c r="G123" s="61"/>
      <c r="H123" s="102"/>
    </row>
    <row r="124" spans="2:8" ht="15.75" x14ac:dyDescent="0.25">
      <c r="B124" s="186" t="str">
        <f>IF(B123&gt;B121,"Positive Financial Leverage","Negative Financial Leverage")</f>
        <v>Positive Financial Leverage</v>
      </c>
      <c r="C124" s="187"/>
      <c r="D124" s="187"/>
      <c r="E124" s="187"/>
      <c r="F124" s="187"/>
      <c r="G124" s="187"/>
      <c r="H124" s="188"/>
    </row>
    <row r="126" spans="2:8" x14ac:dyDescent="0.25">
      <c r="B126" s="176" t="s">
        <v>142</v>
      </c>
      <c r="C126" s="177"/>
      <c r="D126" s="177"/>
      <c r="E126" s="177"/>
      <c r="F126" s="177"/>
      <c r="G126" s="177"/>
      <c r="H126" s="178"/>
    </row>
    <row r="127" spans="2:8" x14ac:dyDescent="0.25">
      <c r="B127" s="83"/>
      <c r="C127" s="84"/>
      <c r="D127" s="84"/>
      <c r="E127" s="84"/>
      <c r="F127" s="84"/>
      <c r="G127" s="84"/>
      <c r="H127" s="85"/>
    </row>
    <row r="128" spans="2:8" x14ac:dyDescent="0.25">
      <c r="B128" s="86" t="s">
        <v>88</v>
      </c>
      <c r="C128" s="72">
        <f>B63</f>
        <v>0.12865392893813299</v>
      </c>
      <c r="D128" s="61"/>
      <c r="E128" s="61"/>
      <c r="F128" s="61"/>
      <c r="G128" s="61"/>
      <c r="H128" s="102"/>
    </row>
    <row r="129" spans="2:8" x14ac:dyDescent="0.25">
      <c r="B129" s="86" t="s">
        <v>131</v>
      </c>
      <c r="C129" s="72">
        <f>B102</f>
        <v>0.10358357080124203</v>
      </c>
      <c r="D129" s="140"/>
      <c r="E129" s="61"/>
      <c r="F129" s="61"/>
      <c r="G129" s="61"/>
      <c r="H129" s="102"/>
    </row>
    <row r="130" spans="2:8" x14ac:dyDescent="0.25">
      <c r="B130" s="86" t="s">
        <v>143</v>
      </c>
      <c r="C130" s="121">
        <f>IFERROR(1-(C129/C128),0)</f>
        <v>0.19486663441850094</v>
      </c>
      <c r="D130" s="61"/>
      <c r="E130" s="61"/>
      <c r="F130" s="61"/>
      <c r="G130" s="61"/>
      <c r="H130" s="102"/>
    </row>
    <row r="131" spans="2:8" x14ac:dyDescent="0.25">
      <c r="B131" s="96"/>
      <c r="C131" s="109"/>
      <c r="D131" s="109"/>
      <c r="E131" s="109"/>
      <c r="F131" s="109"/>
      <c r="G131" s="109"/>
      <c r="H131" s="97"/>
    </row>
  </sheetData>
  <sheetProtection algorithmName="SHA-512" hashValue="rk1KdXyxcgiMBg67nyCxthZjL0fylAOBGsZKPCbc869LU3lWQDl9TrjB/VsaSdvF/Vey/QsIwWe1V75ORoUN6Q==" saltValue="d1LOQmK2z0raAVNrZ5BV9w==" spinCount="100000" sheet="1" selectLockedCells="1"/>
  <mergeCells count="32">
    <mergeCell ref="B48:I48"/>
    <mergeCell ref="K48:L48"/>
    <mergeCell ref="B60:I60"/>
    <mergeCell ref="K60:L60"/>
    <mergeCell ref="K21:M21"/>
    <mergeCell ref="B38:C38"/>
    <mergeCell ref="E38:F38"/>
    <mergeCell ref="H38:I38"/>
    <mergeCell ref="K38:L38"/>
    <mergeCell ref="B46:N46"/>
    <mergeCell ref="C14:D14"/>
    <mergeCell ref="B126:H126"/>
    <mergeCell ref="B71:I71"/>
    <mergeCell ref="K71:L71"/>
    <mergeCell ref="B85:D85"/>
    <mergeCell ref="F85:H85"/>
    <mergeCell ref="F91:H91"/>
    <mergeCell ref="B99:I99"/>
    <mergeCell ref="K99:L99"/>
    <mergeCell ref="B108:H108"/>
    <mergeCell ref="B118:H118"/>
    <mergeCell ref="B124:H124"/>
    <mergeCell ref="B69:N69"/>
    <mergeCell ref="F16:H16"/>
    <mergeCell ref="C24:I24"/>
    <mergeCell ref="B36:N36"/>
    <mergeCell ref="B2:N2"/>
    <mergeCell ref="B5:N5"/>
    <mergeCell ref="F7:H7"/>
    <mergeCell ref="K7:M7"/>
    <mergeCell ref="C7:D7"/>
    <mergeCell ref="B3:N3"/>
  </mergeCells>
  <conditionalFormatting sqref="L72:M75">
    <cfRule type="expression" dxfId="9" priority="10">
      <formula>ISERROR($L$72:$L$77)</formula>
    </cfRule>
  </conditionalFormatting>
  <conditionalFormatting sqref="D74:H74 D76:H83">
    <cfRule type="expression" dxfId="8" priority="9">
      <formula>ISERROR($D$74:$H$83)</formula>
    </cfRule>
  </conditionalFormatting>
  <conditionalFormatting sqref="C86:D93">
    <cfRule type="expression" dxfId="7" priority="8">
      <formula>ISERROR($C$86:$D$93)</formula>
    </cfRule>
  </conditionalFormatting>
  <conditionalFormatting sqref="H87:H89">
    <cfRule type="expression" dxfId="6" priority="7">
      <formula>ISERROR($H$87:$H$89)</formula>
    </cfRule>
  </conditionalFormatting>
  <conditionalFormatting sqref="H92:H96">
    <cfRule type="expression" dxfId="5" priority="6">
      <formula>ISERROR($H$92:$H$96)</formula>
    </cfRule>
  </conditionalFormatting>
  <conditionalFormatting sqref="I104:M104 I102:J103">
    <cfRule type="expression" dxfId="4" priority="5">
      <formula>ISERROR($B$102:$L$104)</formula>
    </cfRule>
  </conditionalFormatting>
  <conditionalFormatting sqref="C111:H114">
    <cfRule type="expression" dxfId="3" priority="4">
      <formula>ISERROR($C$111:$H$114)</formula>
    </cfRule>
  </conditionalFormatting>
  <conditionalFormatting sqref="C128:C130">
    <cfRule type="expression" dxfId="2" priority="3">
      <formula>ISERROR($C$128:$C$130)</formula>
    </cfRule>
  </conditionalFormatting>
  <conditionalFormatting sqref="B124:H124">
    <cfRule type="expression" dxfId="1" priority="2">
      <formula>$B$121=$B$123</formula>
    </cfRule>
  </conditionalFormatting>
  <conditionalFormatting sqref="I39:I40">
    <cfRule type="expression" dxfId="0" priority="1">
      <formula>ISERROR($I$39:$I$40)</formula>
    </cfRule>
  </conditionalFormatting>
  <dataValidations count="2">
    <dataValidation type="list" allowBlank="1" showInputMessage="1" showErrorMessage="1" sqref="D29" xr:uid="{00000000-0002-0000-0000-000000000000}">
      <formula1>"Growth, Op Ex Ratio"</formula1>
    </dataValidation>
    <dataValidation type="list" allowBlank="1" showInputMessage="1" showErrorMessage="1" sqref="L13" xr:uid="{00000000-0002-0000-0000-000001000000}">
      <formula1>"Residential, Commercial"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019A-0722-4311-923F-16CD62A5B16B}">
  <dimension ref="B1:U35"/>
  <sheetViews>
    <sheetView showGridLines="0" zoomScale="110" zoomScaleNormal="110" workbookViewId="0">
      <selection activeCell="D14" sqref="D14"/>
    </sheetView>
  </sheetViews>
  <sheetFormatPr defaultRowHeight="15" x14ac:dyDescent="0.25"/>
  <cols>
    <col min="1" max="1" width="3.42578125" customWidth="1"/>
    <col min="2" max="2" width="2.7109375" customWidth="1"/>
    <col min="3" max="3" width="3.7109375" customWidth="1"/>
    <col min="4" max="4" width="10.5703125" customWidth="1"/>
    <col min="5" max="5" width="4.7109375" customWidth="1"/>
    <col min="6" max="6" width="10.5703125" customWidth="1"/>
    <col min="7" max="7" width="1.7109375" customWidth="1"/>
    <col min="8" max="8" width="10.5703125" customWidth="1"/>
    <col min="9" max="9" width="1.7109375" customWidth="1"/>
    <col min="10" max="10" width="10.5703125" customWidth="1"/>
    <col min="11" max="11" width="1.7109375" customWidth="1"/>
    <col min="12" max="12" width="10.7109375" customWidth="1"/>
    <col min="13" max="13" width="1.7109375" customWidth="1"/>
    <col min="14" max="14" width="11.28515625" customWidth="1"/>
    <col min="15" max="15" width="1.7109375" customWidth="1"/>
    <col min="16" max="16" width="10.7109375" customWidth="1"/>
    <col min="17" max="17" width="2.85546875" customWidth="1"/>
    <col min="18" max="18" width="10.7109375" customWidth="1"/>
    <col min="19" max="19" width="3.7109375" customWidth="1"/>
    <col min="20" max="20" width="2.7109375" customWidth="1"/>
    <col min="21" max="21" width="3.42578125" customWidth="1"/>
  </cols>
  <sheetData>
    <row r="1" spans="2:21" ht="6.75" customHeight="1" thickBot="1" x14ac:dyDescent="0.3"/>
    <row r="2" spans="2:21" ht="28.5" x14ac:dyDescent="0.45">
      <c r="B2" s="167" t="s">
        <v>166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2:21" ht="15.75" thickBot="1" x14ac:dyDescent="0.3">
      <c r="B3" s="174" t="s">
        <v>160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1" ht="6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1" ht="15" customHeight="1" thickBot="1" x14ac:dyDescent="0.35">
      <c r="B5" s="208" t="s">
        <v>153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</row>
    <row r="6" spans="2:21" ht="6" customHeight="1" x14ac:dyDescent="0.25">
      <c r="B6" s="59"/>
      <c r="C6" s="59"/>
      <c r="D6" s="8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2:21" x14ac:dyDescent="0.25">
      <c r="B7" s="61"/>
      <c r="C7" s="210" t="s">
        <v>152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3"/>
      <c r="T7" s="156"/>
    </row>
    <row r="8" spans="2:21" ht="15" customHeight="1" x14ac:dyDescent="0.25">
      <c r="B8" s="61"/>
      <c r="C8" s="158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60"/>
      <c r="O8" s="157"/>
      <c r="P8" s="157"/>
      <c r="Q8" s="157"/>
      <c r="R8" s="157"/>
      <c r="S8" s="159"/>
      <c r="T8" s="156"/>
    </row>
    <row r="9" spans="2:21" x14ac:dyDescent="0.25">
      <c r="B9" s="61"/>
      <c r="C9" s="86"/>
      <c r="D9" s="211" t="s">
        <v>155</v>
      </c>
      <c r="E9" s="211"/>
      <c r="F9" s="211" t="s">
        <v>156</v>
      </c>
      <c r="G9" s="211"/>
      <c r="H9" s="211" t="s">
        <v>157</v>
      </c>
      <c r="I9" s="211"/>
      <c r="J9" s="211" t="s">
        <v>158</v>
      </c>
      <c r="K9" s="211"/>
      <c r="L9" s="211" t="s">
        <v>159</v>
      </c>
      <c r="M9" s="211"/>
      <c r="N9" s="212" t="s">
        <v>165</v>
      </c>
      <c r="O9" s="211"/>
      <c r="P9" s="211" t="s">
        <v>161</v>
      </c>
      <c r="Q9" s="211"/>
      <c r="R9" s="211" t="s">
        <v>162</v>
      </c>
      <c r="S9" s="102"/>
      <c r="T9" s="156"/>
    </row>
    <row r="10" spans="2:21" x14ac:dyDescent="0.25">
      <c r="B10" s="65"/>
      <c r="C10" s="86"/>
      <c r="D10" s="213" t="s">
        <v>154</v>
      </c>
      <c r="E10" s="214"/>
      <c r="F10" s="215">
        <v>10</v>
      </c>
      <c r="G10" s="215"/>
      <c r="H10" s="215">
        <v>500</v>
      </c>
      <c r="I10" s="215"/>
      <c r="J10" s="216">
        <v>650</v>
      </c>
      <c r="K10" s="215"/>
      <c r="L10" s="217">
        <v>1.3</v>
      </c>
      <c r="M10" s="215"/>
      <c r="N10" s="218">
        <v>0.05</v>
      </c>
      <c r="O10" s="215"/>
      <c r="P10" s="217">
        <f>J10*(1-N10)</f>
        <v>617.5</v>
      </c>
      <c r="Q10" s="215"/>
      <c r="R10" s="217">
        <f>L10*(1-N10)</f>
        <v>1.2349999999999999</v>
      </c>
      <c r="S10" s="88"/>
      <c r="T10" s="156"/>
    </row>
    <row r="11" spans="2:21" x14ac:dyDescent="0.25">
      <c r="B11" s="92"/>
      <c r="C11" s="86"/>
      <c r="D11" s="213" t="s">
        <v>169</v>
      </c>
      <c r="E11" s="219"/>
      <c r="F11" s="220">
        <v>36</v>
      </c>
      <c r="G11" s="220"/>
      <c r="H11" s="215">
        <v>780</v>
      </c>
      <c r="I11" s="220"/>
      <c r="J11" s="221">
        <v>950</v>
      </c>
      <c r="K11" s="220"/>
      <c r="L11" s="217">
        <v>1.22</v>
      </c>
      <c r="M11" s="220"/>
      <c r="N11" s="222">
        <v>0.05</v>
      </c>
      <c r="O11" s="220"/>
      <c r="P11" s="217">
        <f t="shared" ref="P11:P13" si="0">J11*(1-N11)</f>
        <v>902.5</v>
      </c>
      <c r="Q11" s="215"/>
      <c r="R11" s="217">
        <f t="shared" ref="R11:R13" si="1">L11*(1-N11)</f>
        <v>1.159</v>
      </c>
      <c r="S11" s="162"/>
      <c r="T11" s="156"/>
    </row>
    <row r="12" spans="2:21" x14ac:dyDescent="0.25">
      <c r="B12" s="92"/>
      <c r="C12" s="86"/>
      <c r="D12" s="223" t="s">
        <v>170</v>
      </c>
      <c r="E12" s="219"/>
      <c r="F12" s="220">
        <v>164</v>
      </c>
      <c r="G12" s="220"/>
      <c r="H12" s="215">
        <v>1050</v>
      </c>
      <c r="I12" s="220"/>
      <c r="J12" s="221">
        <v>1150</v>
      </c>
      <c r="K12" s="220"/>
      <c r="L12" s="217">
        <v>1.1000000000000001</v>
      </c>
      <c r="M12" s="220"/>
      <c r="N12" s="222">
        <v>0.05</v>
      </c>
      <c r="O12" s="220"/>
      <c r="P12" s="217">
        <f t="shared" si="0"/>
        <v>1092.5</v>
      </c>
      <c r="Q12" s="215"/>
      <c r="R12" s="217">
        <f t="shared" si="1"/>
        <v>1.0449999999999999</v>
      </c>
      <c r="S12" s="162"/>
      <c r="T12" s="156"/>
    </row>
    <row r="13" spans="2:21" x14ac:dyDescent="0.25">
      <c r="B13" s="92"/>
      <c r="C13" s="86"/>
      <c r="D13" s="223" t="s">
        <v>171</v>
      </c>
      <c r="E13" s="219"/>
      <c r="F13" s="220">
        <v>26</v>
      </c>
      <c r="G13" s="220"/>
      <c r="H13" s="215">
        <v>1250</v>
      </c>
      <c r="I13" s="220"/>
      <c r="J13" s="221">
        <v>1350</v>
      </c>
      <c r="K13" s="220"/>
      <c r="L13" s="217">
        <v>1.08</v>
      </c>
      <c r="M13" s="220"/>
      <c r="N13" s="222">
        <v>0.05</v>
      </c>
      <c r="O13" s="220"/>
      <c r="P13" s="217">
        <f t="shared" si="0"/>
        <v>1282.5</v>
      </c>
      <c r="Q13" s="215"/>
      <c r="R13" s="217">
        <f t="shared" si="1"/>
        <v>1.026</v>
      </c>
      <c r="S13" s="162"/>
      <c r="T13" s="156"/>
      <c r="U13" s="1"/>
    </row>
    <row r="14" spans="2:21" x14ac:dyDescent="0.25">
      <c r="B14" s="92"/>
      <c r="C14" s="86"/>
      <c r="D14" s="224" t="s">
        <v>164</v>
      </c>
      <c r="E14" s="225"/>
      <c r="F14" s="226">
        <f>SUM(F10:F13)</f>
        <v>236</v>
      </c>
      <c r="G14" s="227"/>
      <c r="H14" s="226">
        <f>AVERAGE(H10:H13)</f>
        <v>895</v>
      </c>
      <c r="I14" s="226"/>
      <c r="J14" s="228">
        <f>AVERAGE(J10:J13)</f>
        <v>1025</v>
      </c>
      <c r="K14" s="226"/>
      <c r="L14" s="229">
        <v>1.18</v>
      </c>
      <c r="M14" s="227"/>
      <c r="N14" s="230">
        <f>AVERAGE(N10:N13)</f>
        <v>0.05</v>
      </c>
      <c r="O14" s="227"/>
      <c r="P14" s="229">
        <f>AVERAGE(P10:P13)</f>
        <v>973.75</v>
      </c>
      <c r="Q14" s="227"/>
      <c r="R14" s="229">
        <f>AVERAGE(R10:R13)</f>
        <v>1.11625</v>
      </c>
      <c r="S14" s="162"/>
      <c r="T14" s="61"/>
      <c r="U14" s="1"/>
    </row>
    <row r="15" spans="2:21" x14ac:dyDescent="0.25">
      <c r="B15" s="61"/>
      <c r="C15" s="96"/>
      <c r="D15" s="99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5"/>
      <c r="T15" s="61"/>
      <c r="U15" s="1"/>
    </row>
    <row r="16" spans="2:21" ht="6" customHeight="1" x14ac:dyDescent="0.25">
      <c r="B16" s="61"/>
      <c r="C16" s="61"/>
      <c r="D16" s="92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61"/>
      <c r="U16" s="1"/>
    </row>
    <row r="17" spans="2:21" x14ac:dyDescent="0.25">
      <c r="B17" s="61"/>
      <c r="C17" s="200" t="s">
        <v>185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9"/>
      <c r="T17" s="61"/>
      <c r="U17" s="1"/>
    </row>
    <row r="18" spans="2:21" x14ac:dyDescent="0.25">
      <c r="B18" s="61"/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61"/>
      <c r="U18" s="1"/>
    </row>
    <row r="19" spans="2:21" x14ac:dyDescent="0.25">
      <c r="B19" s="61"/>
      <c r="C19" s="86"/>
      <c r="D19" s="213" t="s">
        <v>172</v>
      </c>
      <c r="E19" s="231"/>
      <c r="F19" s="232">
        <v>325000</v>
      </c>
      <c r="G19" s="232"/>
      <c r="H19" s="1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102"/>
      <c r="T19" s="61"/>
      <c r="U19" s="1"/>
    </row>
    <row r="20" spans="2:21" x14ac:dyDescent="0.25">
      <c r="B20" s="61"/>
      <c r="C20" s="86"/>
      <c r="D20" s="213" t="s">
        <v>173</v>
      </c>
      <c r="E20" s="231"/>
      <c r="F20" s="232">
        <v>45000</v>
      </c>
      <c r="G20" s="232"/>
      <c r="H20" s="1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102"/>
      <c r="T20" s="61"/>
      <c r="U20" s="1"/>
    </row>
    <row r="21" spans="2:21" x14ac:dyDescent="0.25">
      <c r="B21" s="61"/>
      <c r="C21" s="86"/>
      <c r="D21" s="213" t="s">
        <v>174</v>
      </c>
      <c r="E21" s="231"/>
      <c r="F21" s="232">
        <v>97000</v>
      </c>
      <c r="G21" s="232"/>
      <c r="H21" s="1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02"/>
      <c r="T21" s="61"/>
      <c r="U21" s="1"/>
    </row>
    <row r="22" spans="2:21" x14ac:dyDescent="0.25">
      <c r="B22" s="61"/>
      <c r="C22" s="86"/>
      <c r="D22" s="213" t="s">
        <v>175</v>
      </c>
      <c r="E22" s="231"/>
      <c r="F22" s="232">
        <v>213000</v>
      </c>
      <c r="G22" s="232"/>
      <c r="H22" s="1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102"/>
      <c r="T22" s="61"/>
      <c r="U22" s="1"/>
    </row>
    <row r="23" spans="2:21" x14ac:dyDescent="0.25">
      <c r="B23" s="61"/>
      <c r="C23" s="86"/>
      <c r="D23" s="213" t="s">
        <v>176</v>
      </c>
      <c r="E23" s="231"/>
      <c r="F23" s="232">
        <v>58000</v>
      </c>
      <c r="G23" s="232"/>
      <c r="H23" s="1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102"/>
      <c r="T23" s="61"/>
      <c r="U23" s="1"/>
    </row>
    <row r="24" spans="2:21" x14ac:dyDescent="0.25">
      <c r="B24" s="61"/>
      <c r="C24" s="86"/>
      <c r="D24" s="213" t="s">
        <v>182</v>
      </c>
      <c r="E24" s="231"/>
      <c r="F24" s="232"/>
      <c r="G24" s="232"/>
      <c r="H24" s="1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102"/>
      <c r="T24" s="61"/>
      <c r="U24" s="1"/>
    </row>
    <row r="25" spans="2:21" x14ac:dyDescent="0.25">
      <c r="B25" s="61"/>
      <c r="C25" s="86"/>
      <c r="D25" s="213" t="s">
        <v>177</v>
      </c>
      <c r="E25" s="231"/>
      <c r="F25" s="232">
        <v>175000</v>
      </c>
      <c r="G25" s="232"/>
      <c r="H25" s="1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102"/>
      <c r="T25" s="61"/>
      <c r="U25" s="1"/>
    </row>
    <row r="26" spans="2:21" x14ac:dyDescent="0.25">
      <c r="B26" s="61"/>
      <c r="C26" s="86"/>
      <c r="D26" s="213" t="s">
        <v>183</v>
      </c>
      <c r="E26" s="231"/>
      <c r="F26" s="232"/>
      <c r="G26" s="232"/>
      <c r="H26" s="1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102"/>
      <c r="T26" s="61"/>
      <c r="U26" s="1"/>
    </row>
    <row r="27" spans="2:21" x14ac:dyDescent="0.25">
      <c r="B27" s="61"/>
      <c r="C27" s="86"/>
      <c r="D27" s="213" t="s">
        <v>178</v>
      </c>
      <c r="E27" s="231"/>
      <c r="F27" s="232"/>
      <c r="G27" s="232"/>
      <c r="H27" s="1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102"/>
      <c r="T27" s="61"/>
      <c r="U27" s="1"/>
    </row>
    <row r="28" spans="2:21" x14ac:dyDescent="0.25">
      <c r="B28" s="61"/>
      <c r="C28" s="86"/>
      <c r="D28" s="213" t="s">
        <v>184</v>
      </c>
      <c r="E28" s="231"/>
      <c r="F28" s="232"/>
      <c r="G28" s="232"/>
      <c r="H28" s="1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102"/>
      <c r="T28" s="61"/>
      <c r="U28" s="1"/>
    </row>
    <row r="29" spans="2:21" x14ac:dyDescent="0.25">
      <c r="B29" s="61"/>
      <c r="C29" s="86"/>
      <c r="D29" s="213" t="s">
        <v>179</v>
      </c>
      <c r="E29" s="231"/>
      <c r="F29" s="232"/>
      <c r="G29" s="232"/>
      <c r="H29" s="1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102"/>
      <c r="T29" s="61"/>
      <c r="U29" s="1"/>
    </row>
    <row r="30" spans="2:21" x14ac:dyDescent="0.25">
      <c r="B30" s="61"/>
      <c r="C30" s="86"/>
      <c r="D30" s="213" t="s">
        <v>180</v>
      </c>
      <c r="E30" s="231"/>
      <c r="F30" s="232"/>
      <c r="G30" s="232"/>
      <c r="H30" s="1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102"/>
      <c r="T30" s="61"/>
      <c r="U30" s="1"/>
    </row>
    <row r="31" spans="2:21" x14ac:dyDescent="0.25">
      <c r="B31" s="61"/>
      <c r="C31" s="86"/>
      <c r="D31" s="213" t="s">
        <v>181</v>
      </c>
      <c r="E31" s="231"/>
      <c r="F31" s="232"/>
      <c r="G31" s="232"/>
      <c r="H31" s="1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102"/>
      <c r="T31" s="61"/>
      <c r="U31" s="1"/>
    </row>
    <row r="32" spans="2:21" x14ac:dyDescent="0.25">
      <c r="B32" s="61"/>
      <c r="C32" s="86"/>
      <c r="D32" s="213" t="s">
        <v>186</v>
      </c>
      <c r="E32" s="231"/>
      <c r="F32" s="232">
        <v>525000</v>
      </c>
      <c r="G32" s="232"/>
      <c r="H32" s="1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102"/>
      <c r="T32" s="61"/>
      <c r="U32" s="1"/>
    </row>
    <row r="33" spans="2:21" x14ac:dyDescent="0.25">
      <c r="B33" s="61"/>
      <c r="C33" s="86"/>
      <c r="D33" s="233" t="s">
        <v>164</v>
      </c>
      <c r="E33" s="234"/>
      <c r="F33" s="235">
        <f>SUM(F19:F32)</f>
        <v>1438000</v>
      </c>
      <c r="G33" s="235"/>
      <c r="H33" s="163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102"/>
      <c r="T33" s="61"/>
      <c r="U33" s="1"/>
    </row>
    <row r="34" spans="2:21" x14ac:dyDescent="0.25">
      <c r="B34" s="61"/>
      <c r="C34" s="96"/>
      <c r="D34" s="99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61"/>
      <c r="U34" s="1"/>
    </row>
    <row r="35" spans="2:21" x14ac:dyDescent="0.25">
      <c r="U35" s="1"/>
    </row>
  </sheetData>
  <sheetProtection algorithmName="SHA-512" hashValue="Tq3BBnHrpUUIg6lNZ7IqYo8yxDPOKIOqu2JiG51ckMOxGpcNdDgtHfB4QxVoPiLphiLFIU5eYIBoQDwls2/KDg==" saltValue="TQj3U6izfY3yNyEQ392VlQ==" spinCount="100000" sheet="1" selectLockedCells="1"/>
  <mergeCells count="5">
    <mergeCell ref="B3:T3"/>
    <mergeCell ref="C7:S7"/>
    <mergeCell ref="C17:S17"/>
    <mergeCell ref="B5:T5"/>
    <mergeCell ref="B2:T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5yr Multifamily Underwriting</vt:lpstr>
      <vt:lpstr>Income and Expense Inputs</vt:lpstr>
      <vt:lpstr>'Income and Expense Inputs'!Print_Area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Engelstad</dc:creator>
  <cp:lastModifiedBy>AptGuy45</cp:lastModifiedBy>
  <dcterms:created xsi:type="dcterms:W3CDTF">2018-09-05T18:22:57Z</dcterms:created>
  <dcterms:modified xsi:type="dcterms:W3CDTF">2021-02-05T14:55:19Z</dcterms:modified>
</cp:coreProperties>
</file>